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\Documents\Dominando a Reforma Tributaria\"/>
    </mc:Choice>
  </mc:AlternateContent>
  <xr:revisionPtr revIDLastSave="0" documentId="13_ncr:1_{25C61787-1948-4FE6-8A3C-A7D462C97BCA}" xr6:coauthVersionLast="47" xr6:coauthVersionMax="47" xr10:uidLastSave="{00000000-0000-0000-0000-000000000000}"/>
  <bookViews>
    <workbookView xWindow="-108" yWindow="-108" windowWidth="23256" windowHeight="12456" tabRatio="773" firstSheet="2" activeTab="3" xr2:uid="{A8B2EA84-85AF-4768-8620-820711FC1F39}"/>
  </bookViews>
  <sheets>
    <sheet name="Planilha1" sheetId="1" state="hidden" r:id="rId1"/>
    <sheet name="Planilha2" sheetId="2" state="hidden" r:id="rId2"/>
    <sheet name="Simples Nacional - Cenario 2027" sheetId="6" r:id="rId3"/>
    <sheet name="Simples Nacional - Cenario 2033" sheetId="4" r:id="rId4"/>
    <sheet name="Lucro Presumido - Cenario 2027" sheetId="5" r:id="rId5"/>
    <sheet name="Lucro Presumido - Cenario 2033" sheetId="8" r:id="rId6"/>
    <sheet name="Tabela SN Anexo III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4" l="1"/>
  <c r="B20" i="4"/>
  <c r="B22" i="4" s="1"/>
  <c r="B23" i="4" s="1"/>
  <c r="B24" i="4" s="1"/>
  <c r="C24" i="4" s="1"/>
  <c r="B19" i="4"/>
  <c r="B21" i="4" s="1"/>
  <c r="B16" i="8"/>
  <c r="B13" i="8"/>
  <c r="B15" i="8" s="1"/>
  <c r="A13" i="8"/>
  <c r="B8" i="8"/>
  <c r="B7" i="8"/>
  <c r="B6" i="8"/>
  <c r="B9" i="8" s="1"/>
  <c r="B17" i="5"/>
  <c r="B16" i="5"/>
  <c r="B18" i="5" s="1"/>
  <c r="B19" i="5" s="1"/>
  <c r="B30" i="4"/>
  <c r="B31" i="6"/>
  <c r="B15" i="6"/>
  <c r="B20" i="6" s="1"/>
  <c r="B22" i="6" s="1"/>
  <c r="B7" i="4"/>
  <c r="E29" i="4" s="1"/>
  <c r="B29" i="4" s="1"/>
  <c r="B31" i="4" s="1"/>
  <c r="B21" i="6" l="1"/>
  <c r="B23" i="6" s="1"/>
  <c r="B17" i="8"/>
  <c r="B18" i="8" s="1"/>
  <c r="B8" i="6"/>
  <c r="E30" i="6" s="1"/>
  <c r="B30" i="6" s="1"/>
  <c r="B32" i="6" s="1"/>
  <c r="B8" i="4"/>
  <c r="B15" i="4" s="1"/>
  <c r="B9" i="4" l="1"/>
  <c r="B16" i="4" s="1"/>
  <c r="B9" i="6"/>
  <c r="B16" i="6" l="1"/>
  <c r="B10" i="6"/>
  <c r="B17" i="6" s="1"/>
  <c r="B18" i="6" l="1"/>
  <c r="B24" i="6" s="1"/>
  <c r="B25" i="6" s="1"/>
  <c r="C25" i="6" s="1"/>
  <c r="B13" i="5"/>
  <c r="B15" i="5" s="1"/>
  <c r="A13" i="5"/>
  <c r="B8" i="5"/>
  <c r="B7" i="5"/>
  <c r="B6" i="5"/>
  <c r="E27" i="1"/>
  <c r="E28" i="1"/>
  <c r="F7" i="2"/>
  <c r="D7" i="2"/>
  <c r="D6" i="2"/>
  <c r="B13" i="1"/>
  <c r="G6" i="2"/>
  <c r="E6" i="2"/>
  <c r="C6" i="2"/>
  <c r="C81" i="1"/>
  <c r="F23" i="2"/>
  <c r="F22" i="2"/>
  <c r="D22" i="2"/>
  <c r="B22" i="2"/>
  <c r="B21" i="1"/>
  <c r="E30" i="1"/>
  <c r="E26" i="1"/>
  <c r="H22" i="2"/>
  <c r="A22" i="2"/>
  <c r="A18" i="2"/>
  <c r="A19" i="2"/>
  <c r="A17" i="2"/>
  <c r="G14" i="2"/>
  <c r="H14" i="2" s="1"/>
  <c r="E14" i="2"/>
  <c r="F14" i="2" s="1"/>
  <c r="D76" i="1"/>
  <c r="D77" i="1" s="1"/>
  <c r="C77" i="1"/>
  <c r="C76" i="1"/>
  <c r="D80" i="1"/>
  <c r="C80" i="1"/>
  <c r="A80" i="1"/>
  <c r="B81" i="1"/>
  <c r="B79" i="1"/>
  <c r="B73" i="1"/>
  <c r="B74" i="1" s="1"/>
  <c r="B76" i="1" s="1"/>
  <c r="B77" i="1" s="1"/>
  <c r="B78" i="1" s="1"/>
  <c r="C74" i="1"/>
  <c r="D73" i="1"/>
  <c r="D74" i="1" s="1"/>
  <c r="C73" i="1"/>
  <c r="D44" i="1"/>
  <c r="D45" i="1" s="1"/>
  <c r="D47" i="1" s="1"/>
  <c r="D48" i="1" s="1"/>
  <c r="C44" i="1"/>
  <c r="C45" i="1" s="1"/>
  <c r="C47" i="1" s="1"/>
  <c r="C48" i="1" s="1"/>
  <c r="A51" i="1"/>
  <c r="B44" i="1"/>
  <c r="B45" i="1" s="1"/>
  <c r="B47" i="1" s="1"/>
  <c r="B48" i="1" s="1"/>
  <c r="A10" i="2"/>
  <c r="A11" i="2"/>
  <c r="A9" i="2"/>
  <c r="A2" i="2"/>
  <c r="A3" i="2"/>
  <c r="A1" i="2"/>
  <c r="B61" i="1"/>
  <c r="B62" i="1" s="1"/>
  <c r="B64" i="1" s="1"/>
  <c r="A39" i="1"/>
  <c r="A68" i="1" s="1"/>
  <c r="B32" i="1"/>
  <c r="B33" i="1" s="1"/>
  <c r="B35" i="1" s="1"/>
  <c r="B36" i="1" s="1"/>
  <c r="B37" i="1" s="1"/>
  <c r="B17" i="1"/>
  <c r="B22" i="1" s="1"/>
  <c r="A17" i="1"/>
  <c r="B12" i="1"/>
  <c r="B39" i="1" s="1"/>
  <c r="B68" i="1" s="1"/>
  <c r="B11" i="1"/>
  <c r="B10" i="1"/>
  <c r="B7" i="1"/>
  <c r="B8" i="1" s="1"/>
  <c r="B9" i="5" l="1"/>
  <c r="H23" i="2"/>
  <c r="D79" i="1"/>
  <c r="D78" i="1"/>
  <c r="D81" i="1"/>
  <c r="D82" i="1" s="1"/>
  <c r="C78" i="1"/>
  <c r="C82" i="1" s="1"/>
  <c r="C79" i="1"/>
  <c r="B50" i="1"/>
  <c r="D50" i="1"/>
  <c r="D49" i="1"/>
  <c r="D52" i="1" s="1"/>
  <c r="C50" i="1"/>
  <c r="C49" i="1"/>
  <c r="C52" i="1" s="1"/>
  <c r="B49" i="1"/>
  <c r="B52" i="1" s="1"/>
  <c r="B38" i="1"/>
  <c r="B40" i="1" s="1"/>
  <c r="A14" i="2" s="1"/>
  <c r="B14" i="2" s="1"/>
  <c r="F15" i="2" s="1"/>
  <c r="B65" i="1"/>
  <c r="B23" i="1"/>
  <c r="C17" i="1"/>
  <c r="B18" i="1"/>
  <c r="B9" i="1"/>
  <c r="B51" i="1" l="1"/>
  <c r="B80" i="1"/>
  <c r="B82" i="1" s="1"/>
  <c r="D23" i="2" s="1"/>
  <c r="H15" i="2"/>
  <c r="A6" i="2"/>
  <c r="B66" i="1"/>
  <c r="B67" i="1" s="1"/>
  <c r="B69" i="1" s="1"/>
  <c r="B19" i="1"/>
  <c r="B20" i="1"/>
  <c r="C22" i="1"/>
  <c r="C18" i="1"/>
  <c r="D17" i="1"/>
  <c r="C21" i="1"/>
  <c r="D22" i="1" l="1"/>
  <c r="D18" i="1"/>
  <c r="D21" i="1"/>
  <c r="C19" i="1"/>
  <c r="C20" i="1"/>
  <c r="C23" i="1"/>
  <c r="C51" i="1" s="1"/>
  <c r="C53" i="1" s="1"/>
  <c r="B24" i="1"/>
  <c r="B53" i="1" l="1"/>
  <c r="C14" i="2" s="1"/>
  <c r="D14" i="2" s="1"/>
  <c r="D15" i="2" s="1"/>
  <c r="C24" i="1"/>
  <c r="F6" i="2" s="1"/>
  <c r="D20" i="1"/>
  <c r="D19" i="1"/>
  <c r="D23" i="1"/>
  <c r="D51" i="1" s="1"/>
  <c r="D53" i="1" s="1"/>
  <c r="D24" i="1" l="1"/>
  <c r="H6" i="2" s="1"/>
  <c r="H7" i="2" s="1"/>
</calcChain>
</file>

<file path=xl/sharedStrings.xml><?xml version="1.0" encoding="utf-8"?>
<sst xmlns="http://schemas.openxmlformats.org/spreadsheetml/2006/main" count="229" uniqueCount="113">
  <si>
    <r>
      <rPr>
        <b/>
        <sz val="11"/>
        <color theme="1"/>
        <rFont val="Calibri"/>
        <family val="2"/>
        <scheme val="minor"/>
      </rPr>
      <t>Regime:</t>
    </r>
    <r>
      <rPr>
        <sz val="11"/>
        <color theme="1"/>
        <rFont val="Calibri"/>
        <family val="2"/>
        <scheme val="minor"/>
      </rPr>
      <t xml:space="preserve"> Lucro Presumido</t>
    </r>
  </si>
  <si>
    <t>Receita da Prestação de Serviços</t>
  </si>
  <si>
    <t>PIS Cumulativo (0,65%)</t>
  </si>
  <si>
    <t>IRPJ a Recolher (15%)</t>
  </si>
  <si>
    <t>CSLL a Recolher (9%)</t>
  </si>
  <si>
    <t>ISS Fixo por Profissional (R$ 220,00)</t>
  </si>
  <si>
    <t>(=) Lucro Presumido (IRPJ e CSLL - 32%)</t>
  </si>
  <si>
    <t>Cofins Cumulativo (3,0%)</t>
  </si>
  <si>
    <r>
      <rPr>
        <b/>
        <sz val="11"/>
        <color theme="1"/>
        <rFont val="Calibri"/>
        <family val="2"/>
        <scheme val="minor"/>
      </rPr>
      <t xml:space="preserve">Sociedade Simples Pura: </t>
    </r>
    <r>
      <rPr>
        <sz val="11"/>
        <color theme="1"/>
        <rFont val="Calibri"/>
        <family val="2"/>
        <scheme val="minor"/>
      </rPr>
      <t xml:space="preserve">2 profissionais </t>
    </r>
  </si>
  <si>
    <t>CENÁRIO ATUAL</t>
  </si>
  <si>
    <t>VALORES</t>
  </si>
  <si>
    <t>PROJEÇÃO</t>
  </si>
  <si>
    <t>CARGA TRIBUTÁRIA TOTAL</t>
  </si>
  <si>
    <t>C1 - 25%</t>
  </si>
  <si>
    <t>C2 - 28%</t>
  </si>
  <si>
    <t>C3 - 30%</t>
  </si>
  <si>
    <t>IBS + CBS Débitos</t>
  </si>
  <si>
    <t>IBS + CBS a recolher</t>
  </si>
  <si>
    <t>IBS + CBS Créditos (BC 18% da receita)</t>
  </si>
  <si>
    <t>CARGA TRIBUTÁRIA PROJETADA</t>
  </si>
  <si>
    <r>
      <rPr>
        <b/>
        <sz val="11"/>
        <color theme="1"/>
        <rFont val="Calibri"/>
        <family val="2"/>
        <scheme val="minor"/>
      </rPr>
      <t>Regime:</t>
    </r>
    <r>
      <rPr>
        <sz val="11"/>
        <color theme="1"/>
        <rFont val="Calibri"/>
        <family val="2"/>
        <scheme val="minor"/>
      </rPr>
      <t xml:space="preserve"> Simples Nacional</t>
    </r>
  </si>
  <si>
    <t>Receita Bruta dos Últimos 12 Meses</t>
  </si>
  <si>
    <t>Alíquota Nominal (21%)</t>
  </si>
  <si>
    <t>Parcela a Deduzir</t>
  </si>
  <si>
    <t>Alíquota Efetiva</t>
  </si>
  <si>
    <t>Valor do DAS a Recolher</t>
  </si>
  <si>
    <t>Valor Devido de Simples Nacional</t>
  </si>
  <si>
    <t>(-) Dedução do ISS</t>
  </si>
  <si>
    <r>
      <rPr>
        <b/>
        <sz val="11"/>
        <color theme="1"/>
        <rFont val="Calibri"/>
        <family val="2"/>
        <scheme val="minor"/>
      </rPr>
      <t>Atividade:</t>
    </r>
    <r>
      <rPr>
        <sz val="11"/>
        <color theme="1"/>
        <rFont val="Calibri"/>
        <family val="2"/>
        <scheme val="minor"/>
      </rPr>
      <t xml:space="preserve"> Serviços Contábeis - Anexo III</t>
    </r>
  </si>
  <si>
    <r>
      <rPr>
        <b/>
        <sz val="11"/>
        <color theme="1"/>
        <rFont val="Calibri"/>
        <family val="2"/>
        <scheme val="minor"/>
      </rPr>
      <t>Atividade:</t>
    </r>
    <r>
      <rPr>
        <sz val="11"/>
        <color theme="1"/>
        <rFont val="Calibri"/>
        <family val="2"/>
        <scheme val="minor"/>
      </rPr>
      <t xml:space="preserve"> Serviços Advocatícios - Anexo IV</t>
    </r>
  </si>
  <si>
    <t>Alíquota Nominal (22%)</t>
  </si>
  <si>
    <t>ATUAL</t>
  </si>
  <si>
    <t>CENÁRIO 01</t>
  </si>
  <si>
    <t>CENÁRIO 02</t>
  </si>
  <si>
    <t>CENÁRIO 03</t>
  </si>
  <si>
    <t>(%)</t>
  </si>
  <si>
    <t>Aumento em relação ao cenário atual</t>
  </si>
  <si>
    <t>C1 (%)</t>
  </si>
  <si>
    <t>C2 (%)</t>
  </si>
  <si>
    <t>C3 (%)</t>
  </si>
  <si>
    <t>(-) Dedução de PIS e COFINS</t>
  </si>
  <si>
    <t>C1</t>
  </si>
  <si>
    <t>C2</t>
  </si>
  <si>
    <t>C3</t>
  </si>
  <si>
    <t>IBS + CBS por fora do Simples</t>
  </si>
  <si>
    <t>Lucro Presumido</t>
  </si>
  <si>
    <t>Folha 50% da RB</t>
  </si>
  <si>
    <t>Despesas (18% RB)</t>
  </si>
  <si>
    <t>RECEITA BRUTA</t>
  </si>
  <si>
    <r>
      <rPr>
        <b/>
        <sz val="11"/>
        <color theme="1"/>
        <rFont val="Calibri"/>
        <family val="2"/>
        <scheme val="minor"/>
      </rPr>
      <t>Atividade:</t>
    </r>
    <r>
      <rPr>
        <sz val="11"/>
        <color theme="1"/>
        <rFont val="Calibri"/>
        <family val="2"/>
        <scheme val="minor"/>
      </rPr>
      <t xml:space="preserve"> Serviços Contábeis ou Advocatícios</t>
    </r>
  </si>
  <si>
    <r>
      <rPr>
        <b/>
        <sz val="11"/>
        <color theme="1"/>
        <rFont val="Calibri"/>
        <family val="2"/>
        <scheme val="minor"/>
      </rPr>
      <t>Atividade:</t>
    </r>
    <r>
      <rPr>
        <sz val="11"/>
        <color theme="1"/>
        <rFont val="Calibri"/>
        <family val="2"/>
        <scheme val="minor"/>
      </rPr>
      <t xml:space="preserve"> Serviços TI</t>
    </r>
  </si>
  <si>
    <t>ISS (5%)</t>
  </si>
  <si>
    <r>
      <rPr>
        <b/>
        <sz val="11"/>
        <color theme="1"/>
        <rFont val="Calibri"/>
        <family val="2"/>
        <scheme val="minor"/>
      </rPr>
      <t>Regime:</t>
    </r>
    <r>
      <rPr>
        <sz val="11"/>
        <color theme="1"/>
        <rFont val="Calibri"/>
        <family val="2"/>
        <scheme val="minor"/>
      </rPr>
      <t xml:space="preserve"> Simples Nacional - Anexo III</t>
    </r>
  </si>
  <si>
    <r>
      <rPr>
        <b/>
        <sz val="11"/>
        <color theme="1"/>
        <rFont val="Calibri"/>
        <family val="2"/>
        <scheme val="minor"/>
      </rPr>
      <t>Atividade:</t>
    </r>
    <r>
      <rPr>
        <sz val="11"/>
        <color theme="1"/>
        <rFont val="Calibri"/>
        <family val="2"/>
        <scheme val="minor"/>
      </rPr>
      <t xml:space="preserve"> Serviços TI </t>
    </r>
  </si>
  <si>
    <t>(-) Dedução de PIS/COFINS/ISS</t>
  </si>
  <si>
    <t>ANEXO III</t>
  </si>
  <si>
    <t>FAIXAS</t>
  </si>
  <si>
    <t>LIM.INFERIOR</t>
  </si>
  <si>
    <t>LIM.SUPERIOR</t>
  </si>
  <si>
    <t>ALÍQUOTA NOMINAL</t>
  </si>
  <si>
    <t>VLR DEDUZIR</t>
  </si>
  <si>
    <t>PERCENTUAIS DE REPARTIÇÃO DOS TRIBUTOS</t>
  </si>
  <si>
    <t>IRPJ</t>
  </si>
  <si>
    <t>CSLL</t>
  </si>
  <si>
    <t>Cofins</t>
  </si>
  <si>
    <t>PIS/Pasep</t>
  </si>
  <si>
    <t>CPP</t>
  </si>
  <si>
    <t>ISS</t>
  </si>
  <si>
    <t>1ª faixa</t>
  </si>
  <si>
    <t>2ª faixa</t>
  </si>
  <si>
    <t>3ª faixa</t>
  </si>
  <si>
    <t>4ª faixa</t>
  </si>
  <si>
    <t>5ª faixa</t>
  </si>
  <si>
    <t>6ª faixa</t>
  </si>
  <si>
    <t>CBS Débitos (Receita x Alíquota CBS)</t>
  </si>
  <si>
    <t>(-) CBS Créditos (Desp. Creditáveis x Aliq. CBS)</t>
  </si>
  <si>
    <t>(-) IBS/CBS Créditos (Desp. Creditáveis x Aliquota)</t>
  </si>
  <si>
    <t>IBS/CBS Débitos (Receita x Alíquota)</t>
  </si>
  <si>
    <t>Despesas Creditáveis (20% da Receita)</t>
  </si>
  <si>
    <t>Diferença</t>
  </si>
  <si>
    <t>(-) Dedução de PIS/COFINS (CBS dentro do SN)</t>
  </si>
  <si>
    <t>Pis e Cofins embutido no Simples</t>
  </si>
  <si>
    <t>Crédito que o cliente aproveita (15,60% do valor do SN)</t>
  </si>
  <si>
    <t>Valor do Serviço</t>
  </si>
  <si>
    <t>Crédito de CBS dentro do Simples Nacional</t>
  </si>
  <si>
    <t>Crédito de CBS fora do Simples Nacional</t>
  </si>
  <si>
    <t>Pis, Cofins e ISS embutido no Simples</t>
  </si>
  <si>
    <t>Crédito que o cliente aproveita (49,10% do valor do SN)</t>
  </si>
  <si>
    <t>CENÁRIO 2027</t>
  </si>
  <si>
    <t>ANO 2027</t>
  </si>
  <si>
    <t>SIMPLES PURO</t>
  </si>
  <si>
    <t>15,6% da alíquota efetiva do SN:</t>
  </si>
  <si>
    <t>Crédito que o cliente aproveita (26,5% do Faturamento)</t>
  </si>
  <si>
    <t>ANO 2033</t>
  </si>
  <si>
    <t>49,10% da alíquota efetiva do SN:</t>
  </si>
  <si>
    <t>26,5% do valor do serviço</t>
  </si>
  <si>
    <t>VENDA DE SERVIÇO PARA UM CLIENTE DO LUCRO REAL:</t>
  </si>
  <si>
    <t>ISS + CBS A RECOLHER</t>
  </si>
  <si>
    <t>IBS/CBS Débitos (Receita x Alíquota IBS/CBS)</t>
  </si>
  <si>
    <t>(-) IBS/CBS Créditos (Desp. Creditáveis x Aliq. IBS/CBS)</t>
  </si>
  <si>
    <t>CENÁRIO 2033</t>
  </si>
  <si>
    <t>Crédito que o cliente aproveita (9,21% do Faturamento)</t>
  </si>
  <si>
    <t>9,21% do valor do serviço</t>
  </si>
  <si>
    <t>REGIME REGULAR OU SIMPLES HIBRIDO (CBS por fora do DAS)</t>
  </si>
  <si>
    <t>de aumento da carga tributária</t>
  </si>
  <si>
    <t>1 - Apuração do Simples Nacional</t>
  </si>
  <si>
    <t>2 - Apuração da CBS</t>
  </si>
  <si>
    <t>(=) CBS a Recolher</t>
  </si>
  <si>
    <t>CARGA TRIBUTÁRIA PROJETADA (1 + 2)</t>
  </si>
  <si>
    <t>Alíquota estimada da CBS</t>
  </si>
  <si>
    <t>(=) Valor do DAS a Recolher</t>
  </si>
  <si>
    <t>2 - Apuração da IBS/CBS</t>
  </si>
  <si>
    <t>(=) IBS/CBS a Recolher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</si>
</sst>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%"/>
    <numFmt numFmtId="165" formatCode="_-&quot;R$&quot;\ * #,##0.000_-;\-&quot;R$&quot;\ * #,##0.000_-;_-&quot;R$&quot;\ * &quot;-&quot;???_-;_-@_-"/>
    <numFmt numFmtId="166" formatCode="0.0000%"/>
    <numFmt numFmtId="167" formatCode="_-&quot;R$&quot;\ * #,##0.00000_-;\-&quot;R$&quot;\ * #,##0.00000_-;_-&quot;R$&quot;\ * &quot;-&quot;??_-;_-@_-"/>
    <numFmt numFmtId="168" formatCode="&quot;R$&quot;\ #,##0.00"/>
    <numFmt numFmtId="170" formatCode="0.0000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</cellStyleXfs>
  <cellXfs count="70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1" xfId="0" applyBorder="1"/>
    <xf numFmtId="44" fontId="0" fillId="0" borderId="1" xfId="0" applyNumberFormat="1" applyBorder="1"/>
    <xf numFmtId="0" fontId="1" fillId="2" borderId="1" xfId="0" applyFont="1" applyFill="1" applyBorder="1"/>
    <xf numFmtId="44" fontId="1" fillId="2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44" fontId="1" fillId="4" borderId="1" xfId="0" applyNumberFormat="1" applyFont="1" applyFill="1" applyBorder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" fillId="5" borderId="1" xfId="0" applyFont="1" applyFill="1" applyBorder="1"/>
    <xf numFmtId="44" fontId="1" fillId="5" borderId="1" xfId="0" applyNumberFormat="1" applyFont="1" applyFill="1" applyBorder="1"/>
    <xf numFmtId="9" fontId="1" fillId="5" borderId="1" xfId="1" applyFont="1" applyFill="1" applyBorder="1"/>
    <xf numFmtId="164" fontId="0" fillId="0" borderId="0" xfId="1" applyNumberFormat="1" applyFont="1"/>
    <xf numFmtId="165" fontId="0" fillId="0" borderId="0" xfId="0" applyNumberFormat="1"/>
    <xf numFmtId="10" fontId="0" fillId="0" borderId="1" xfId="0" applyNumberFormat="1" applyBorder="1"/>
    <xf numFmtId="10" fontId="0" fillId="0" borderId="1" xfId="1" applyNumberFormat="1" applyFont="1" applyBorder="1"/>
    <xf numFmtId="10" fontId="1" fillId="2" borderId="1" xfId="0" applyNumberFormat="1" applyFont="1" applyFill="1" applyBorder="1"/>
    <xf numFmtId="10" fontId="0" fillId="0" borderId="0" xfId="0" applyNumberFormat="1"/>
    <xf numFmtId="0" fontId="1" fillId="5" borderId="0" xfId="0" applyFont="1" applyFill="1"/>
    <xf numFmtId="44" fontId="1" fillId="5" borderId="0" xfId="0" applyNumberFormat="1" applyFont="1" applyFill="1"/>
    <xf numFmtId="0" fontId="0" fillId="5" borderId="0" xfId="0" applyFill="1"/>
    <xf numFmtId="166" fontId="1" fillId="5" borderId="1" xfId="1" applyNumberFormat="1" applyFont="1" applyFill="1" applyBorder="1"/>
    <xf numFmtId="167" fontId="0" fillId="0" borderId="0" xfId="0" applyNumberFormat="1"/>
    <xf numFmtId="168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4" fontId="4" fillId="0" borderId="1" xfId="3" applyFont="1" applyFill="1" applyBorder="1" applyAlignment="1" applyProtection="1">
      <alignment vertical="center"/>
    </xf>
    <xf numFmtId="44" fontId="4" fillId="0" borderId="1" xfId="3" applyFont="1" applyFill="1" applyBorder="1" applyAlignment="1" applyProtection="1">
      <alignment vertical="center"/>
      <protection locked="0"/>
    </xf>
    <xf numFmtId="10" fontId="4" fillId="0" borderId="1" xfId="4" applyNumberFormat="1" applyFont="1" applyBorder="1" applyAlignment="1" applyProtection="1">
      <alignment horizontal="center" vertical="center" wrapText="1"/>
      <protection locked="0"/>
    </xf>
    <xf numFmtId="43" fontId="6" fillId="0" borderId="1" xfId="2" applyFont="1" applyFill="1" applyBorder="1" applyProtection="1"/>
    <xf numFmtId="0" fontId="0" fillId="0" borderId="0" xfId="0" applyAlignment="1">
      <alignment horizontal="right"/>
    </xf>
    <xf numFmtId="10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/>
    </xf>
    <xf numFmtId="44" fontId="4" fillId="0" borderId="1" xfId="0" applyNumberFormat="1" applyFont="1" applyBorder="1" applyAlignment="1" applyProtection="1">
      <alignment vertical="center"/>
      <protection locked="0"/>
    </xf>
    <xf numFmtId="44" fontId="8" fillId="0" borderId="1" xfId="0" applyNumberFormat="1" applyFont="1" applyFill="1" applyBorder="1"/>
    <xf numFmtId="44" fontId="9" fillId="0" borderId="0" xfId="0" applyNumberFormat="1" applyFont="1"/>
    <xf numFmtId="0" fontId="1" fillId="0" borderId="0" xfId="0" applyFont="1"/>
    <xf numFmtId="0" fontId="9" fillId="0" borderId="0" xfId="0" applyFont="1"/>
    <xf numFmtId="44" fontId="7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170" fontId="9" fillId="0" borderId="0" xfId="1" applyNumberFormat="1" applyFont="1"/>
    <xf numFmtId="0" fontId="1" fillId="2" borderId="5" xfId="0" applyFont="1" applyFill="1" applyBorder="1" applyAlignment="1">
      <alignment horizontal="center" vertical="center"/>
    </xf>
    <xf numFmtId="0" fontId="0" fillId="5" borderId="1" xfId="0" applyFont="1" applyFill="1" applyBorder="1"/>
    <xf numFmtId="10" fontId="2" fillId="5" borderId="1" xfId="1" applyNumberFormat="1" applyFont="1" applyFill="1" applyBorder="1"/>
    <xf numFmtId="44" fontId="0" fillId="0" borderId="0" xfId="3" applyFont="1"/>
    <xf numFmtId="10" fontId="1" fillId="0" borderId="0" xfId="1" applyNumberFormat="1" applyFont="1" applyAlignment="1">
      <alignment horizontal="center"/>
    </xf>
    <xf numFmtId="44" fontId="9" fillId="0" borderId="0" xfId="0" applyNumberFormat="1" applyFont="1" applyAlignment="1">
      <alignment horizontal="left"/>
    </xf>
    <xf numFmtId="0" fontId="1" fillId="0" borderId="1" xfId="0" applyFont="1" applyFill="1" applyBorder="1"/>
    <xf numFmtId="44" fontId="1" fillId="0" borderId="1" xfId="0" applyNumberFormat="1" applyFont="1" applyFill="1" applyBorder="1"/>
    <xf numFmtId="44" fontId="0" fillId="0" borderId="1" xfId="0" applyNumberFormat="1" applyFill="1" applyBorder="1"/>
    <xf numFmtId="0" fontId="1" fillId="7" borderId="1" xfId="0" applyFont="1" applyFill="1" applyBorder="1" applyAlignment="1">
      <alignment horizontal="left" vertical="center" wrapText="1"/>
    </xf>
    <xf numFmtId="1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44" fontId="1" fillId="7" borderId="1" xfId="0" applyNumberFormat="1" applyFont="1" applyFill="1" applyBorder="1"/>
    <xf numFmtId="44" fontId="0" fillId="0" borderId="1" xfId="0" applyNumberFormat="1" applyFon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44" fontId="1" fillId="6" borderId="1" xfId="3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6" borderId="1" xfId="0" applyFont="1" applyFill="1" applyBorder="1" applyAlignment="1">
      <alignment horizontal="center" vertical="center" wrapText="1"/>
    </xf>
  </cellXfs>
  <cellStyles count="5">
    <cellStyle name="Moeda" xfId="3" builtinId="4"/>
    <cellStyle name="Normal" xfId="0" builtinId="0"/>
    <cellStyle name="Normal 2" xfId="4" xr:uid="{74928BE3-8C77-4206-88D8-FF2B494C166D}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190363</xdr:colOff>
      <xdr:row>3</xdr:row>
      <xdr:rowOff>165671</xdr:rowOff>
    </xdr:from>
    <xdr:to>
      <xdr:col>9</xdr:col>
      <xdr:colOff>178521</xdr:colOff>
      <xdr:row>6</xdr:row>
      <xdr:rowOff>130821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Tinta 8">
              <a:extLst>
                <a:ext uri="{FF2B5EF4-FFF2-40B4-BE49-F238E27FC236}">
                  <a16:creationId xmlns:a16="http://schemas.microsoft.com/office/drawing/2014/main" id="{B9575B49-7DAF-FDFB-1059-5CF50E28F2D6}"/>
                </a:ext>
              </a:extLst>
            </xdr14:cNvPr>
            <xdr14:cNvContentPartPr/>
          </xdr14:nvContentPartPr>
          <xdr14:nvPr macro=""/>
          <xdr14:xfrm>
            <a:off x="6966720" y="716760"/>
            <a:ext cx="600480" cy="516240"/>
          </xdr14:xfrm>
        </xdr:contentPart>
      </mc:Choice>
      <mc:Fallback xmlns="">
        <xdr:pic>
          <xdr:nvPicPr>
            <xdr:cNvPr id="9" name="Tinta 8">
              <a:extLst>
                <a:ext uri="{FF2B5EF4-FFF2-40B4-BE49-F238E27FC236}">
                  <a16:creationId xmlns:a16="http://schemas.microsoft.com/office/drawing/2014/main" id="{B9575B49-7DAF-FDFB-1059-5CF50E28F2D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957720" y="707760"/>
              <a:ext cx="618120" cy="533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115483</xdr:colOff>
      <xdr:row>12</xdr:row>
      <xdr:rowOff>88843</xdr:rowOff>
    </xdr:from>
    <xdr:to>
      <xdr:col>9</xdr:col>
      <xdr:colOff>144321</xdr:colOff>
      <xdr:row>15</xdr:row>
      <xdr:rowOff>82434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Tinta 9">
              <a:extLst>
                <a:ext uri="{FF2B5EF4-FFF2-40B4-BE49-F238E27FC236}">
                  <a16:creationId xmlns:a16="http://schemas.microsoft.com/office/drawing/2014/main" id="{7A868DCE-F2FB-9EAF-3876-C5B0A3F80A52}"/>
                </a:ext>
              </a:extLst>
            </xdr14:cNvPr>
            <xdr14:cNvContentPartPr/>
          </xdr14:nvContentPartPr>
          <xdr14:nvPr macro=""/>
          <xdr14:xfrm>
            <a:off x="6891840" y="2293200"/>
            <a:ext cx="641160" cy="544680"/>
          </xdr14:xfrm>
        </xdr:contentPart>
      </mc:Choice>
      <mc:Fallback xmlns="">
        <xdr:pic>
          <xdr:nvPicPr>
            <xdr:cNvPr id="10" name="Tinta 9">
              <a:extLst>
                <a:ext uri="{FF2B5EF4-FFF2-40B4-BE49-F238E27FC236}">
                  <a16:creationId xmlns:a16="http://schemas.microsoft.com/office/drawing/2014/main" id="{7A868DCE-F2FB-9EAF-3876-C5B0A3F80A52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882840" y="2284200"/>
              <a:ext cx="658800" cy="562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189283</xdr:colOff>
      <xdr:row>18</xdr:row>
      <xdr:rowOff>99784</xdr:rowOff>
    </xdr:from>
    <xdr:to>
      <xdr:col>9</xdr:col>
      <xdr:colOff>149001</xdr:colOff>
      <xdr:row>23</xdr:row>
      <xdr:rowOff>15422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1" name="Tinta 10">
              <a:extLst>
                <a:ext uri="{FF2B5EF4-FFF2-40B4-BE49-F238E27FC236}">
                  <a16:creationId xmlns:a16="http://schemas.microsoft.com/office/drawing/2014/main" id="{C1DCB670-EB4C-BBEE-8D9F-908C6815A330}"/>
                </a:ext>
              </a:extLst>
            </xdr14:cNvPr>
            <xdr14:cNvContentPartPr/>
          </xdr14:nvContentPartPr>
          <xdr14:nvPr macro=""/>
          <xdr14:xfrm>
            <a:off x="6965640" y="3406320"/>
            <a:ext cx="572040" cy="834120"/>
          </xdr14:xfrm>
        </xdr:contentPart>
      </mc:Choice>
      <mc:Fallback xmlns="">
        <xdr:pic>
          <xdr:nvPicPr>
            <xdr:cNvPr id="11" name="Tinta 10">
              <a:extLst>
                <a:ext uri="{FF2B5EF4-FFF2-40B4-BE49-F238E27FC236}">
                  <a16:creationId xmlns:a16="http://schemas.microsoft.com/office/drawing/2014/main" id="{C1DCB670-EB4C-BBEE-8D9F-908C6815A330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6956640" y="3397320"/>
              <a:ext cx="589680" cy="8517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8-04T15:04:43.34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0 938 24575,'10'26'-302,"3"53"302,-1 33 150,-2 3-150,-3-17 51,20-33-51,37-65 25,69-87-25,77-87 76,62-81-76,38-55 0,13-17 0,-47 47 8192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8-04T15:04:44.48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0 868 24575,'13'16'0,"11"35"0,14 40 0,10 27 0,0 4 0,-5-13 0,0-25 0,6-30 0,20-56 0,27-70 0,33-80 0,32-72 0,29-40 0,19-1 0,17 35 0,-8 50 0,-41 56 8192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8-04T15:04:45.64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3 1953 24575,'-3'13'0,"8"10"0,27 25 0,16 12 0,24 10 0,11-4 0,5-13 0,-2-22 0,-8-65 0,-2-84 0,10-105 0,87-189 0,76-117 0,24-14 0,-34 85 8192</inkml:trace>
</inkml: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EBC7-E556-4B43-8A3C-C6FE80EE2BE5}">
  <dimension ref="A1:E82"/>
  <sheetViews>
    <sheetView showGridLines="0" topLeftCell="A31" zoomScale="220" zoomScaleNormal="220" workbookViewId="0">
      <selection activeCell="B51" sqref="B51"/>
    </sheetView>
  </sheetViews>
  <sheetFormatPr defaultRowHeight="14.4" x14ac:dyDescent="0.3"/>
  <cols>
    <col min="1" max="1" width="37.21875" customWidth="1"/>
    <col min="2" max="2" width="16.33203125" style="1" customWidth="1"/>
    <col min="3" max="4" width="16.33203125" customWidth="1"/>
    <col min="5" max="6" width="15.88671875" customWidth="1"/>
  </cols>
  <sheetData>
    <row r="1" spans="1:4" x14ac:dyDescent="0.3">
      <c r="A1" t="s">
        <v>49</v>
      </c>
    </row>
    <row r="2" spans="1:4" x14ac:dyDescent="0.3">
      <c r="A2" t="s">
        <v>0</v>
      </c>
    </row>
    <row r="3" spans="1:4" x14ac:dyDescent="0.3">
      <c r="A3" t="s">
        <v>8</v>
      </c>
    </row>
    <row r="4" spans="1:4" x14ac:dyDescent="0.3">
      <c r="B4" s="3"/>
      <c r="C4" s="2"/>
    </row>
    <row r="5" spans="1:4" x14ac:dyDescent="0.3">
      <c r="A5" s="8" t="s">
        <v>9</v>
      </c>
      <c r="B5" s="8" t="s">
        <v>10</v>
      </c>
    </row>
    <row r="6" spans="1:4" x14ac:dyDescent="0.3">
      <c r="A6" s="9" t="s">
        <v>1</v>
      </c>
      <c r="B6" s="10">
        <v>150000</v>
      </c>
    </row>
    <row r="7" spans="1:4" x14ac:dyDescent="0.3">
      <c r="A7" s="4" t="s">
        <v>6</v>
      </c>
      <c r="B7" s="5">
        <f>B6*32%</f>
        <v>48000</v>
      </c>
      <c r="D7" s="17"/>
    </row>
    <row r="8" spans="1:4" x14ac:dyDescent="0.3">
      <c r="A8" s="11" t="s">
        <v>3</v>
      </c>
      <c r="B8" s="12">
        <f>B7*15%</f>
        <v>7200</v>
      </c>
    </row>
    <row r="9" spans="1:4" x14ac:dyDescent="0.3">
      <c r="A9" s="11" t="s">
        <v>4</v>
      </c>
      <c r="B9" s="12">
        <f>B7*9%</f>
        <v>4320</v>
      </c>
    </row>
    <row r="10" spans="1:4" x14ac:dyDescent="0.3">
      <c r="A10" s="11" t="s">
        <v>2</v>
      </c>
      <c r="B10" s="12">
        <f>B6*0.65%</f>
        <v>975.00000000000011</v>
      </c>
    </row>
    <row r="11" spans="1:4" x14ac:dyDescent="0.3">
      <c r="A11" s="11" t="s">
        <v>7</v>
      </c>
      <c r="B11" s="12">
        <f>B6*3%</f>
        <v>4500</v>
      </c>
    </row>
    <row r="12" spans="1:4" x14ac:dyDescent="0.3">
      <c r="A12" s="11" t="s">
        <v>5</v>
      </c>
      <c r="B12" s="12">
        <f>220*2</f>
        <v>440</v>
      </c>
      <c r="D12" s="16"/>
    </row>
    <row r="13" spans="1:4" x14ac:dyDescent="0.3">
      <c r="A13" s="6" t="s">
        <v>12</v>
      </c>
      <c r="B13" s="7">
        <f>SUM(B8:B12)</f>
        <v>17435</v>
      </c>
    </row>
    <row r="15" spans="1:4" x14ac:dyDescent="0.3">
      <c r="B15" s="8" t="s">
        <v>13</v>
      </c>
      <c r="C15" s="8" t="s">
        <v>14</v>
      </c>
      <c r="D15" s="8" t="s">
        <v>15</v>
      </c>
    </row>
    <row r="16" spans="1:4" x14ac:dyDescent="0.3">
      <c r="A16" s="8" t="s">
        <v>11</v>
      </c>
      <c r="B16" s="60" t="s">
        <v>10</v>
      </c>
      <c r="C16" s="61"/>
      <c r="D16" s="62"/>
    </row>
    <row r="17" spans="1:5" x14ac:dyDescent="0.3">
      <c r="A17" s="9" t="str">
        <f>A6</f>
        <v>Receita da Prestação de Serviços</v>
      </c>
      <c r="B17" s="10">
        <f>B6</f>
        <v>150000</v>
      </c>
      <c r="C17" s="10">
        <f>B17</f>
        <v>150000</v>
      </c>
      <c r="D17" s="10">
        <f>C17</f>
        <v>150000</v>
      </c>
    </row>
    <row r="18" spans="1:5" x14ac:dyDescent="0.3">
      <c r="A18" s="4" t="s">
        <v>6</v>
      </c>
      <c r="B18" s="5">
        <f>B17*32%</f>
        <v>48000</v>
      </c>
      <c r="C18" s="5">
        <f>C17*32%</f>
        <v>48000</v>
      </c>
      <c r="D18" s="5">
        <f>D17*32%</f>
        <v>48000</v>
      </c>
    </row>
    <row r="19" spans="1:5" x14ac:dyDescent="0.3">
      <c r="A19" s="11" t="s">
        <v>3</v>
      </c>
      <c r="B19" s="12">
        <f>B18*15%</f>
        <v>7200</v>
      </c>
      <c r="C19" s="12">
        <f>C18*15%</f>
        <v>7200</v>
      </c>
      <c r="D19" s="12">
        <f>D18*15%</f>
        <v>7200</v>
      </c>
    </row>
    <row r="20" spans="1:5" x14ac:dyDescent="0.3">
      <c r="A20" s="11" t="s">
        <v>4</v>
      </c>
      <c r="B20" s="12">
        <f>B18*9%</f>
        <v>4320</v>
      </c>
      <c r="C20" s="12">
        <f>C18*9%</f>
        <v>4320</v>
      </c>
      <c r="D20" s="12">
        <f>D18*9%</f>
        <v>4320</v>
      </c>
    </row>
    <row r="21" spans="1:5" x14ac:dyDescent="0.3">
      <c r="A21" s="4" t="s">
        <v>18</v>
      </c>
      <c r="B21" s="5">
        <f>(B17*18%)*25%</f>
        <v>6750</v>
      </c>
      <c r="C21" s="5">
        <f>(C17*18%)*28%</f>
        <v>7560.0000000000009</v>
      </c>
      <c r="D21" s="5">
        <f>(D17*18%)*30%</f>
        <v>8100</v>
      </c>
    </row>
    <row r="22" spans="1:5" x14ac:dyDescent="0.3">
      <c r="A22" s="4" t="s">
        <v>16</v>
      </c>
      <c r="B22" s="5">
        <f>B17*25%</f>
        <v>37500</v>
      </c>
      <c r="C22" s="5">
        <f>C17*28%</f>
        <v>42000.000000000007</v>
      </c>
      <c r="D22" s="5">
        <f>D17*30%</f>
        <v>45000</v>
      </c>
    </row>
    <row r="23" spans="1:5" x14ac:dyDescent="0.3">
      <c r="A23" s="11" t="s">
        <v>17</v>
      </c>
      <c r="B23" s="12">
        <f>B22-B21</f>
        <v>30750</v>
      </c>
      <c r="C23" s="12">
        <f>C22-C21</f>
        <v>34440.000000000007</v>
      </c>
      <c r="D23" s="12">
        <f>D22-D21</f>
        <v>36900</v>
      </c>
    </row>
    <row r="24" spans="1:5" x14ac:dyDescent="0.3">
      <c r="A24" s="6" t="s">
        <v>19</v>
      </c>
      <c r="B24" s="7">
        <f>B19+B20+B23</f>
        <v>42270</v>
      </c>
      <c r="C24" s="7">
        <f>C19+C20+C23</f>
        <v>45960.000000000007</v>
      </c>
      <c r="D24" s="7">
        <f>D19+D20+D23</f>
        <v>48420</v>
      </c>
    </row>
    <row r="26" spans="1:5" x14ac:dyDescent="0.3">
      <c r="A26" t="s">
        <v>28</v>
      </c>
      <c r="D26" s="12" t="s">
        <v>45</v>
      </c>
      <c r="E26" s="12">
        <f>B18</f>
        <v>48000</v>
      </c>
    </row>
    <row r="27" spans="1:5" x14ac:dyDescent="0.3">
      <c r="A27" t="s">
        <v>20</v>
      </c>
      <c r="D27" s="5" t="s">
        <v>46</v>
      </c>
      <c r="E27" s="5">
        <f>B17/2</f>
        <v>75000</v>
      </c>
    </row>
    <row r="28" spans="1:5" x14ac:dyDescent="0.3">
      <c r="A28" t="s">
        <v>8</v>
      </c>
      <c r="D28" s="5" t="s">
        <v>47</v>
      </c>
      <c r="E28" s="5">
        <f>150000*18%</f>
        <v>27000</v>
      </c>
    </row>
    <row r="29" spans="1:5" x14ac:dyDescent="0.3">
      <c r="D29" s="12"/>
      <c r="E29" s="12"/>
    </row>
    <row r="30" spans="1:5" x14ac:dyDescent="0.3">
      <c r="A30" s="8" t="s">
        <v>9</v>
      </c>
      <c r="B30" s="8" t="s">
        <v>10</v>
      </c>
      <c r="D30" s="7" t="s">
        <v>48</v>
      </c>
      <c r="E30" s="7">
        <f>E28+E27+E26</f>
        <v>150000</v>
      </c>
    </row>
    <row r="31" spans="1:5" x14ac:dyDescent="0.3">
      <c r="A31" s="9" t="s">
        <v>1</v>
      </c>
      <c r="B31" s="10">
        <v>150000</v>
      </c>
    </row>
    <row r="32" spans="1:5" x14ac:dyDescent="0.3">
      <c r="A32" s="4" t="s">
        <v>21</v>
      </c>
      <c r="B32" s="5">
        <f>B31*12</f>
        <v>1800000</v>
      </c>
    </row>
    <row r="33" spans="1:4" x14ac:dyDescent="0.3">
      <c r="A33" s="13" t="s">
        <v>22</v>
      </c>
      <c r="B33" s="14">
        <f>B32*21%</f>
        <v>378000</v>
      </c>
    </row>
    <row r="34" spans="1:4" x14ac:dyDescent="0.3">
      <c r="A34" s="13" t="s">
        <v>23</v>
      </c>
      <c r="B34" s="14">
        <v>125640</v>
      </c>
    </row>
    <row r="35" spans="1:4" x14ac:dyDescent="0.3">
      <c r="A35" s="13" t="s">
        <v>24</v>
      </c>
      <c r="B35" s="15">
        <f>(B33-B34)/B32</f>
        <v>0.14019999999999999</v>
      </c>
    </row>
    <row r="36" spans="1:4" x14ac:dyDescent="0.3">
      <c r="A36" s="13" t="s">
        <v>26</v>
      </c>
      <c r="B36" s="14">
        <f>B31*B35</f>
        <v>21030</v>
      </c>
    </row>
    <row r="37" spans="1:4" x14ac:dyDescent="0.3">
      <c r="A37" s="13" t="s">
        <v>27</v>
      </c>
      <c r="B37" s="14">
        <f>(B36*33.5%)</f>
        <v>7045.05</v>
      </c>
      <c r="C37" s="1"/>
    </row>
    <row r="38" spans="1:4" x14ac:dyDescent="0.3">
      <c r="A38" s="11" t="s">
        <v>25</v>
      </c>
      <c r="B38" s="12">
        <f>B36-B37</f>
        <v>13984.95</v>
      </c>
      <c r="C38" s="1"/>
    </row>
    <row r="39" spans="1:4" x14ac:dyDescent="0.3">
      <c r="A39" s="11" t="str">
        <f>A12</f>
        <v>ISS Fixo por Profissional (R$ 220,00)</v>
      </c>
      <c r="B39" s="12">
        <f>B12</f>
        <v>440</v>
      </c>
      <c r="C39" s="1"/>
    </row>
    <row r="40" spans="1:4" x14ac:dyDescent="0.3">
      <c r="A40" s="6" t="s">
        <v>12</v>
      </c>
      <c r="B40" s="7">
        <f>B38+B39</f>
        <v>14424.95</v>
      </c>
    </row>
    <row r="41" spans="1:4" s="24" customFormat="1" x14ac:dyDescent="0.3">
      <c r="A41" s="22"/>
      <c r="B41" s="23"/>
    </row>
    <row r="42" spans="1:4" x14ac:dyDescent="0.3">
      <c r="A42" s="8" t="s">
        <v>44</v>
      </c>
      <c r="B42" s="8" t="s">
        <v>41</v>
      </c>
      <c r="C42" s="8" t="s">
        <v>42</v>
      </c>
      <c r="D42" s="8" t="s">
        <v>43</v>
      </c>
    </row>
    <row r="43" spans="1:4" x14ac:dyDescent="0.3">
      <c r="A43" s="9" t="s">
        <v>1</v>
      </c>
      <c r="B43" s="10">
        <v>150000</v>
      </c>
      <c r="C43" s="10">
        <v>150000</v>
      </c>
      <c r="D43" s="10">
        <v>150000</v>
      </c>
    </row>
    <row r="44" spans="1:4" x14ac:dyDescent="0.3">
      <c r="A44" s="4" t="s">
        <v>21</v>
      </c>
      <c r="B44" s="5">
        <f>B43*12</f>
        <v>1800000</v>
      </c>
      <c r="C44" s="5">
        <f>C43*12</f>
        <v>1800000</v>
      </c>
      <c r="D44" s="5">
        <f>D43*12</f>
        <v>1800000</v>
      </c>
    </row>
    <row r="45" spans="1:4" x14ac:dyDescent="0.3">
      <c r="A45" s="13" t="s">
        <v>22</v>
      </c>
      <c r="B45" s="14">
        <f>B44*21%</f>
        <v>378000</v>
      </c>
      <c r="C45" s="14">
        <f>C44*21%</f>
        <v>378000</v>
      </c>
      <c r="D45" s="14">
        <f>D44*21%</f>
        <v>378000</v>
      </c>
    </row>
    <row r="46" spans="1:4" x14ac:dyDescent="0.3">
      <c r="A46" s="13" t="s">
        <v>23</v>
      </c>
      <c r="B46" s="14">
        <v>125640</v>
      </c>
      <c r="C46" s="14">
        <v>125640</v>
      </c>
      <c r="D46" s="14">
        <v>125640</v>
      </c>
    </row>
    <row r="47" spans="1:4" x14ac:dyDescent="0.3">
      <c r="A47" s="13" t="s">
        <v>24</v>
      </c>
      <c r="B47" s="15">
        <f>(B45-B46)/B44</f>
        <v>0.14019999999999999</v>
      </c>
      <c r="C47" s="15">
        <f>(C45-C46)/C44</f>
        <v>0.14019999999999999</v>
      </c>
      <c r="D47" s="15">
        <f>(D45-D46)/D44</f>
        <v>0.14019999999999999</v>
      </c>
    </row>
    <row r="48" spans="1:4" x14ac:dyDescent="0.3">
      <c r="A48" s="13" t="s">
        <v>26</v>
      </c>
      <c r="B48" s="14">
        <f>B43*B47</f>
        <v>21030</v>
      </c>
      <c r="C48" s="14">
        <f>C43*C47</f>
        <v>21030</v>
      </c>
      <c r="D48" s="14">
        <f>D43*D47</f>
        <v>21030</v>
      </c>
    </row>
    <row r="49" spans="1:4" x14ac:dyDescent="0.3">
      <c r="A49" s="13" t="s">
        <v>27</v>
      </c>
      <c r="B49" s="14">
        <f>(B48*33.5%)</f>
        <v>7045.05</v>
      </c>
      <c r="C49" s="14">
        <f>(C48*33.5%)</f>
        <v>7045.05</v>
      </c>
      <c r="D49" s="14">
        <f>(D48*33.5%)</f>
        <v>7045.05</v>
      </c>
    </row>
    <row r="50" spans="1:4" x14ac:dyDescent="0.3">
      <c r="A50" s="13" t="s">
        <v>40</v>
      </c>
      <c r="B50" s="14">
        <f>B48*15.6%</f>
        <v>3280.68</v>
      </c>
      <c r="C50" s="14">
        <f>C48*15.6%</f>
        <v>3280.68</v>
      </c>
      <c r="D50" s="14">
        <f>D48*15.6%</f>
        <v>3280.68</v>
      </c>
    </row>
    <row r="51" spans="1:4" x14ac:dyDescent="0.3">
      <c r="A51" s="11" t="str">
        <f>A23</f>
        <v>IBS + CBS a recolher</v>
      </c>
      <c r="B51" s="12">
        <f>B23</f>
        <v>30750</v>
      </c>
      <c r="C51" s="12">
        <f>C23</f>
        <v>34440.000000000007</v>
      </c>
      <c r="D51" s="12">
        <f>D23</f>
        <v>36900</v>
      </c>
    </row>
    <row r="52" spans="1:4" x14ac:dyDescent="0.3">
      <c r="A52" s="11" t="s">
        <v>25</v>
      </c>
      <c r="B52" s="12">
        <f>B48-B49-B50</f>
        <v>10704.27</v>
      </c>
      <c r="C52" s="12">
        <f>C48-C49-C50</f>
        <v>10704.27</v>
      </c>
      <c r="D52" s="12">
        <f>D48-D49-D50</f>
        <v>10704.27</v>
      </c>
    </row>
    <row r="53" spans="1:4" x14ac:dyDescent="0.3">
      <c r="A53" s="6" t="s">
        <v>19</v>
      </c>
      <c r="B53" s="7">
        <f>B51+B52</f>
        <v>41454.270000000004</v>
      </c>
      <c r="C53" s="7">
        <f>C51+C52</f>
        <v>45144.270000000004</v>
      </c>
      <c r="D53" s="7">
        <f>D51+D52</f>
        <v>47604.270000000004</v>
      </c>
    </row>
    <row r="55" spans="1:4" x14ac:dyDescent="0.3">
      <c r="A55" t="s">
        <v>29</v>
      </c>
    </row>
    <row r="56" spans="1:4" x14ac:dyDescent="0.3">
      <c r="A56" t="s">
        <v>20</v>
      </c>
    </row>
    <row r="57" spans="1:4" x14ac:dyDescent="0.3">
      <c r="A57" t="s">
        <v>8</v>
      </c>
    </row>
    <row r="59" spans="1:4" x14ac:dyDescent="0.3">
      <c r="A59" s="8" t="s">
        <v>9</v>
      </c>
      <c r="B59" s="8" t="s">
        <v>10</v>
      </c>
    </row>
    <row r="60" spans="1:4" x14ac:dyDescent="0.3">
      <c r="A60" s="9" t="s">
        <v>1</v>
      </c>
      <c r="B60" s="10">
        <v>150000</v>
      </c>
    </row>
    <row r="61" spans="1:4" x14ac:dyDescent="0.3">
      <c r="A61" s="4" t="s">
        <v>21</v>
      </c>
      <c r="B61" s="5">
        <f>B60*12</f>
        <v>1800000</v>
      </c>
    </row>
    <row r="62" spans="1:4" x14ac:dyDescent="0.3">
      <c r="A62" s="13" t="s">
        <v>30</v>
      </c>
      <c r="B62" s="14">
        <f>B61*22%</f>
        <v>396000</v>
      </c>
    </row>
    <row r="63" spans="1:4" x14ac:dyDescent="0.3">
      <c r="A63" s="13" t="s">
        <v>23</v>
      </c>
      <c r="B63" s="14">
        <v>183780</v>
      </c>
    </row>
    <row r="64" spans="1:4" x14ac:dyDescent="0.3">
      <c r="A64" s="13" t="s">
        <v>24</v>
      </c>
      <c r="B64" s="25">
        <f>(B62-B63)/B61</f>
        <v>0.1179</v>
      </c>
    </row>
    <row r="65" spans="1:4" x14ac:dyDescent="0.3">
      <c r="A65" s="13" t="s">
        <v>26</v>
      </c>
      <c r="B65" s="14">
        <f>B60*B64</f>
        <v>17685</v>
      </c>
    </row>
    <row r="66" spans="1:4" x14ac:dyDescent="0.3">
      <c r="A66" s="13" t="s">
        <v>27</v>
      </c>
      <c r="B66" s="14">
        <f>(B65*40%)</f>
        <v>7074</v>
      </c>
    </row>
    <row r="67" spans="1:4" x14ac:dyDescent="0.3">
      <c r="A67" s="11" t="s">
        <v>25</v>
      </c>
      <c r="B67" s="12">
        <f>B65-B66</f>
        <v>10611</v>
      </c>
    </row>
    <row r="68" spans="1:4" x14ac:dyDescent="0.3">
      <c r="A68" s="11" t="str">
        <f>A39</f>
        <v>ISS Fixo por Profissional (R$ 220,00)</v>
      </c>
      <c r="B68" s="12">
        <f>B39</f>
        <v>440</v>
      </c>
    </row>
    <row r="69" spans="1:4" x14ac:dyDescent="0.3">
      <c r="A69" s="6" t="s">
        <v>12</v>
      </c>
      <c r="B69" s="7">
        <f>B67+B68</f>
        <v>11051</v>
      </c>
    </row>
    <row r="71" spans="1:4" x14ac:dyDescent="0.3">
      <c r="A71" s="8" t="s">
        <v>44</v>
      </c>
      <c r="B71" s="8" t="s">
        <v>41</v>
      </c>
      <c r="C71" s="8" t="s">
        <v>42</v>
      </c>
      <c r="D71" s="8" t="s">
        <v>43</v>
      </c>
    </row>
    <row r="72" spans="1:4" x14ac:dyDescent="0.3">
      <c r="A72" s="9" t="s">
        <v>1</v>
      </c>
      <c r="B72" s="10">
        <v>150000</v>
      </c>
      <c r="C72" s="10">
        <v>150000</v>
      </c>
      <c r="D72" s="10">
        <v>150000</v>
      </c>
    </row>
    <row r="73" spans="1:4" x14ac:dyDescent="0.3">
      <c r="A73" s="4" t="s">
        <v>21</v>
      </c>
      <c r="B73" s="5">
        <f>B72*12</f>
        <v>1800000</v>
      </c>
      <c r="C73" s="5">
        <f>C72*12</f>
        <v>1800000</v>
      </c>
      <c r="D73" s="5">
        <f>D72*12</f>
        <v>1800000</v>
      </c>
    </row>
    <row r="74" spans="1:4" x14ac:dyDescent="0.3">
      <c r="A74" s="13" t="s">
        <v>22</v>
      </c>
      <c r="B74" s="14">
        <f>B73*22%</f>
        <v>396000</v>
      </c>
      <c r="C74" s="14">
        <f>C73*21%</f>
        <v>378000</v>
      </c>
      <c r="D74" s="14">
        <f>D73*21%</f>
        <v>378000</v>
      </c>
    </row>
    <row r="75" spans="1:4" x14ac:dyDescent="0.3">
      <c r="A75" s="13" t="s">
        <v>23</v>
      </c>
      <c r="B75" s="14">
        <v>183780</v>
      </c>
      <c r="C75" s="14">
        <v>125640</v>
      </c>
      <c r="D75" s="14">
        <v>125640</v>
      </c>
    </row>
    <row r="76" spans="1:4" x14ac:dyDescent="0.3">
      <c r="A76" s="13" t="s">
        <v>24</v>
      </c>
      <c r="B76" s="15">
        <f>(B74-B75)/B73</f>
        <v>0.1179</v>
      </c>
      <c r="C76" s="15">
        <f>(C74-C75)/C73</f>
        <v>0.14019999999999999</v>
      </c>
      <c r="D76" s="15">
        <f>(D74-D75)/D73</f>
        <v>0.14019999999999999</v>
      </c>
    </row>
    <row r="77" spans="1:4" x14ac:dyDescent="0.3">
      <c r="A77" s="13" t="s">
        <v>26</v>
      </c>
      <c r="B77" s="14">
        <f>B72*B76</f>
        <v>17685</v>
      </c>
      <c r="C77" s="14">
        <f>C72*C76</f>
        <v>21030</v>
      </c>
      <c r="D77" s="14">
        <f>D72*D76</f>
        <v>21030</v>
      </c>
    </row>
    <row r="78" spans="1:4" x14ac:dyDescent="0.3">
      <c r="A78" s="13" t="s">
        <v>27</v>
      </c>
      <c r="B78" s="14">
        <f>(B77*40%)</f>
        <v>7074</v>
      </c>
      <c r="C78" s="14">
        <f>(C77*40%)</f>
        <v>8412</v>
      </c>
      <c r="D78" s="14">
        <f>(D77*40%)</f>
        <v>8412</v>
      </c>
    </row>
    <row r="79" spans="1:4" x14ac:dyDescent="0.3">
      <c r="A79" s="13" t="s">
        <v>40</v>
      </c>
      <c r="B79" s="14">
        <f>B77*22%</f>
        <v>3890.7</v>
      </c>
      <c r="C79" s="14">
        <f>C77*22%</f>
        <v>4626.6000000000004</v>
      </c>
      <c r="D79" s="14">
        <f>D77*22%</f>
        <v>4626.6000000000004</v>
      </c>
    </row>
    <row r="80" spans="1:4" x14ac:dyDescent="0.3">
      <c r="A80" s="11" t="str">
        <f>A51</f>
        <v>IBS + CBS a recolher</v>
      </c>
      <c r="B80" s="12">
        <f>B23</f>
        <v>30750</v>
      </c>
      <c r="C80" s="12">
        <f>C23</f>
        <v>34440.000000000007</v>
      </c>
      <c r="D80" s="12">
        <f>D23</f>
        <v>36900</v>
      </c>
    </row>
    <row r="81" spans="1:4" x14ac:dyDescent="0.3">
      <c r="A81" s="11" t="s">
        <v>25</v>
      </c>
      <c r="B81" s="12">
        <f>B77-B78-B79</f>
        <v>6720.3</v>
      </c>
      <c r="C81" s="12">
        <f>C77-C78-C79</f>
        <v>7991.4</v>
      </c>
      <c r="D81" s="12">
        <f>D77-D78-D79</f>
        <v>7991.4</v>
      </c>
    </row>
    <row r="82" spans="1:4" x14ac:dyDescent="0.3">
      <c r="A82" s="6" t="s">
        <v>19</v>
      </c>
      <c r="B82" s="7">
        <f>B80+B81</f>
        <v>37470.300000000003</v>
      </c>
      <c r="C82" s="7">
        <f>C80+C81</f>
        <v>42431.400000000009</v>
      </c>
      <c r="D82" s="7">
        <f>D80+D81</f>
        <v>44891.4</v>
      </c>
    </row>
  </sheetData>
  <mergeCells count="1">
    <mergeCell ref="B16:D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03B6-3619-4516-90E2-C851C80441F0}">
  <dimension ref="A1:H23"/>
  <sheetViews>
    <sheetView showGridLines="0" zoomScale="140" zoomScaleNormal="150" workbookViewId="0">
      <selection activeCell="F8" sqref="F8"/>
    </sheetView>
  </sheetViews>
  <sheetFormatPr defaultRowHeight="14.4" x14ac:dyDescent="0.3"/>
  <cols>
    <col min="1" max="1" width="15.44140625" customWidth="1"/>
    <col min="2" max="2" width="8.88671875" customWidth="1"/>
    <col min="3" max="3" width="15.44140625" customWidth="1"/>
    <col min="4" max="4" width="8.88671875" customWidth="1"/>
    <col min="5" max="5" width="15.44140625" customWidth="1"/>
    <col min="6" max="6" width="8.88671875" customWidth="1"/>
    <col min="7" max="7" width="15.44140625" customWidth="1"/>
    <col min="8" max="8" width="8.88671875" customWidth="1"/>
  </cols>
  <sheetData>
    <row r="1" spans="1:8" x14ac:dyDescent="0.3">
      <c r="A1" t="str">
        <f>Planilha1!A1</f>
        <v>Atividade: Serviços Contábeis ou Advocatícios</v>
      </c>
    </row>
    <row r="2" spans="1:8" x14ac:dyDescent="0.3">
      <c r="A2" t="str">
        <f>Planilha1!A2</f>
        <v>Regime: Lucro Presumido</v>
      </c>
    </row>
    <row r="3" spans="1:8" x14ac:dyDescent="0.3">
      <c r="A3" t="str">
        <f>Planilha1!A3</f>
        <v xml:space="preserve">Sociedade Simples Pura: 2 profissionais </v>
      </c>
    </row>
    <row r="5" spans="1:8" x14ac:dyDescent="0.3">
      <c r="A5" s="8" t="s">
        <v>31</v>
      </c>
      <c r="B5" s="8" t="s">
        <v>35</v>
      </c>
      <c r="C5" s="8" t="s">
        <v>32</v>
      </c>
      <c r="D5" s="8" t="s">
        <v>37</v>
      </c>
      <c r="E5" s="8" t="s">
        <v>33</v>
      </c>
      <c r="F5" s="8" t="s">
        <v>38</v>
      </c>
      <c r="G5" s="8" t="s">
        <v>34</v>
      </c>
      <c r="H5" s="8" t="s">
        <v>39</v>
      </c>
    </row>
    <row r="6" spans="1:8" x14ac:dyDescent="0.3">
      <c r="A6" s="5">
        <f>Planilha1!B13</f>
        <v>17435</v>
      </c>
      <c r="B6" s="18">
        <v>0.1162</v>
      </c>
      <c r="C6" s="5">
        <f>Planilha1!B24</f>
        <v>42270</v>
      </c>
      <c r="D6" s="19">
        <f>C6/150000</f>
        <v>0.28179999999999999</v>
      </c>
      <c r="E6" s="5">
        <f>Planilha1!C24</f>
        <v>45960.000000000007</v>
      </c>
      <c r="F6" s="19">
        <f>E6/150000</f>
        <v>0.30640000000000006</v>
      </c>
      <c r="G6" s="5">
        <f>Planilha1!D24</f>
        <v>48420</v>
      </c>
      <c r="H6" s="19">
        <f>G6/150000</f>
        <v>0.32279999999999998</v>
      </c>
    </row>
    <row r="7" spans="1:8" x14ac:dyDescent="0.3">
      <c r="A7" s="63" t="s">
        <v>36</v>
      </c>
      <c r="B7" s="64"/>
      <c r="C7" s="65"/>
      <c r="D7" s="20">
        <f>D6-B6</f>
        <v>0.1656</v>
      </c>
      <c r="E7" s="4"/>
      <c r="F7" s="20">
        <f>F6-B6</f>
        <v>0.19020000000000006</v>
      </c>
      <c r="G7" s="4"/>
      <c r="H7" s="20">
        <f>H6-B6</f>
        <v>0.20659999999999998</v>
      </c>
    </row>
    <row r="8" spans="1:8" x14ac:dyDescent="0.3">
      <c r="D8" s="21"/>
    </row>
    <row r="9" spans="1:8" x14ac:dyDescent="0.3">
      <c r="A9" t="str">
        <f>Planilha1!A26</f>
        <v>Atividade: Serviços Contábeis - Anexo III</v>
      </c>
      <c r="E9" s="26"/>
    </row>
    <row r="10" spans="1:8" x14ac:dyDescent="0.3">
      <c r="A10" t="str">
        <f>Planilha1!A27</f>
        <v>Regime: Simples Nacional</v>
      </c>
    </row>
    <row r="11" spans="1:8" x14ac:dyDescent="0.3">
      <c r="A11" t="str">
        <f>Planilha1!A28</f>
        <v xml:space="preserve">Sociedade Simples Pura: 2 profissionais </v>
      </c>
    </row>
    <row r="13" spans="1:8" x14ac:dyDescent="0.3">
      <c r="A13" s="8" t="s">
        <v>31</v>
      </c>
      <c r="B13" s="8" t="s">
        <v>35</v>
      </c>
      <c r="C13" s="8" t="s">
        <v>32</v>
      </c>
      <c r="D13" s="8" t="s">
        <v>37</v>
      </c>
      <c r="E13" s="8" t="s">
        <v>33</v>
      </c>
      <c r="F13" s="8" t="s">
        <v>38</v>
      </c>
      <c r="G13" s="8" t="s">
        <v>34</v>
      </c>
      <c r="H13" s="8" t="s">
        <v>39</v>
      </c>
    </row>
    <row r="14" spans="1:8" x14ac:dyDescent="0.3">
      <c r="A14" s="5">
        <f>Planilha1!B40</f>
        <v>14424.95</v>
      </c>
      <c r="B14" s="18">
        <f>A14/150000</f>
        <v>9.616633333333334E-2</v>
      </c>
      <c r="C14" s="5">
        <f>Planilha1!B53</f>
        <v>41454.270000000004</v>
      </c>
      <c r="D14" s="19">
        <f>C14/150000</f>
        <v>0.27636180000000005</v>
      </c>
      <c r="E14" s="5">
        <f>Planilha1!C53</f>
        <v>45144.270000000004</v>
      </c>
      <c r="F14" s="19">
        <f>E14/150000</f>
        <v>0.3009618</v>
      </c>
      <c r="G14" s="5">
        <f>Planilha1!D53</f>
        <v>47604.270000000004</v>
      </c>
      <c r="H14" s="19">
        <f>G14/150000</f>
        <v>0.31736180000000003</v>
      </c>
    </row>
    <row r="15" spans="1:8" x14ac:dyDescent="0.3">
      <c r="A15" s="63" t="s">
        <v>36</v>
      </c>
      <c r="B15" s="64"/>
      <c r="C15" s="65"/>
      <c r="D15" s="20">
        <f>D14-B14</f>
        <v>0.18019546666666669</v>
      </c>
      <c r="E15" s="4"/>
      <c r="F15" s="20">
        <f>F14-B14</f>
        <v>0.20479546666666665</v>
      </c>
      <c r="G15" s="4"/>
      <c r="H15" s="20">
        <f>H14-B14</f>
        <v>0.22119546666666667</v>
      </c>
    </row>
    <row r="17" spans="1:8" x14ac:dyDescent="0.3">
      <c r="A17" t="str">
        <f>Planilha1!A55</f>
        <v>Atividade: Serviços Advocatícios - Anexo IV</v>
      </c>
    </row>
    <row r="18" spans="1:8" x14ac:dyDescent="0.3">
      <c r="A18" t="str">
        <f>Planilha1!A56</f>
        <v>Regime: Simples Nacional</v>
      </c>
    </row>
    <row r="19" spans="1:8" x14ac:dyDescent="0.3">
      <c r="A19" t="str">
        <f>Planilha1!A57</f>
        <v xml:space="preserve">Sociedade Simples Pura: 2 profissionais </v>
      </c>
    </row>
    <row r="21" spans="1:8" x14ac:dyDescent="0.3">
      <c r="A21" s="8" t="s">
        <v>31</v>
      </c>
      <c r="B21" s="8" t="s">
        <v>35</v>
      </c>
      <c r="C21" s="8" t="s">
        <v>32</v>
      </c>
      <c r="D21" s="8" t="s">
        <v>37</v>
      </c>
      <c r="E21" s="8" t="s">
        <v>33</v>
      </c>
      <c r="F21" s="8" t="s">
        <v>38</v>
      </c>
      <c r="G21" s="8" t="s">
        <v>34</v>
      </c>
      <c r="H21" s="8" t="s">
        <v>39</v>
      </c>
    </row>
    <row r="22" spans="1:8" x14ac:dyDescent="0.3">
      <c r="A22" s="5">
        <f>Planilha1!B69</f>
        <v>11051</v>
      </c>
      <c r="B22" s="18">
        <f>A22/150000</f>
        <v>7.3673333333333327E-2</v>
      </c>
      <c r="C22" s="5">
        <v>34020.300000000003</v>
      </c>
      <c r="D22" s="19">
        <f>C22/150000</f>
        <v>0.22680200000000003</v>
      </c>
      <c r="E22" s="5">
        <v>37296.300000000003</v>
      </c>
      <c r="F22" s="19">
        <f>E22/150000</f>
        <v>0.24864200000000003</v>
      </c>
      <c r="G22" s="5">
        <v>39480.300000000003</v>
      </c>
      <c r="H22" s="19">
        <f>G22/150000</f>
        <v>0.26320200000000005</v>
      </c>
    </row>
    <row r="23" spans="1:8" x14ac:dyDescent="0.3">
      <c r="A23" s="63" t="s">
        <v>36</v>
      </c>
      <c r="B23" s="64"/>
      <c r="C23" s="65"/>
      <c r="D23" s="20">
        <f>D22-B22</f>
        <v>0.15312866666666669</v>
      </c>
      <c r="E23" s="4"/>
      <c r="F23" s="20">
        <f>F22-B22</f>
        <v>0.17496866666666672</v>
      </c>
      <c r="G23" s="4"/>
      <c r="H23" s="20">
        <f>H22-B22</f>
        <v>0.18952866666666673</v>
      </c>
    </row>
  </sheetData>
  <mergeCells count="3">
    <mergeCell ref="A7:C7"/>
    <mergeCell ref="A15:C15"/>
    <mergeCell ref="A23:C2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9AC0-F590-485D-93ED-327014FDA14A}">
  <dimension ref="A2:J32"/>
  <sheetViews>
    <sheetView showGridLines="0" zoomScaleNormal="100" workbookViewId="0">
      <selection activeCell="D25" sqref="D25"/>
    </sheetView>
  </sheetViews>
  <sheetFormatPr defaultRowHeight="14.4" x14ac:dyDescent="0.3"/>
  <cols>
    <col min="1" max="1" width="40.109375" customWidth="1"/>
    <col min="2" max="2" width="15.77734375" style="1" bestFit="1" customWidth="1"/>
    <col min="3" max="3" width="7.21875" customWidth="1"/>
    <col min="4" max="4" width="12.44140625" customWidth="1"/>
    <col min="5" max="5" width="9.44140625" customWidth="1"/>
    <col min="10" max="10" width="14" bestFit="1" customWidth="1"/>
  </cols>
  <sheetData>
    <row r="2" spans="1:10" x14ac:dyDescent="0.3">
      <c r="A2" t="s">
        <v>53</v>
      </c>
    </row>
    <row r="3" spans="1:10" x14ac:dyDescent="0.3">
      <c r="A3" t="s">
        <v>52</v>
      </c>
    </row>
    <row r="4" spans="1:10" ht="6" customHeight="1" x14ac:dyDescent="0.3"/>
    <row r="5" spans="1:10" x14ac:dyDescent="0.3">
      <c r="A5" s="8" t="s">
        <v>90</v>
      </c>
      <c r="B5" s="44" t="s">
        <v>89</v>
      </c>
    </row>
    <row r="6" spans="1:10" x14ac:dyDescent="0.3">
      <c r="A6" s="9" t="s">
        <v>1</v>
      </c>
      <c r="B6" s="10">
        <v>150000</v>
      </c>
    </row>
    <row r="7" spans="1:10" x14ac:dyDescent="0.3">
      <c r="A7" s="4" t="s">
        <v>21</v>
      </c>
      <c r="B7" s="5">
        <v>1800000.01</v>
      </c>
    </row>
    <row r="8" spans="1:10" x14ac:dyDescent="0.3">
      <c r="A8" s="47" t="s">
        <v>24</v>
      </c>
      <c r="B8" s="48">
        <f>((B7*'Tabela SN Anexo III'!D8)-'Tabela SN Anexo III'!E8)/B7</f>
        <v>0.14020000038777777</v>
      </c>
      <c r="C8" s="1"/>
    </row>
    <row r="9" spans="1:10" x14ac:dyDescent="0.3">
      <c r="A9" s="6" t="s">
        <v>26</v>
      </c>
      <c r="B9" s="7">
        <f>B6*B8</f>
        <v>21030.000058166665</v>
      </c>
      <c r="J9" s="1"/>
    </row>
    <row r="10" spans="1:10" x14ac:dyDescent="0.3">
      <c r="A10" s="11" t="s">
        <v>81</v>
      </c>
      <c r="B10" s="12">
        <f>B9*('Tabela SN Anexo III'!I8+'Tabela SN Anexo III'!J8)</f>
        <v>3280.6800090739998</v>
      </c>
      <c r="C10" s="40" t="s">
        <v>82</v>
      </c>
      <c r="J10" s="49"/>
    </row>
    <row r="11" spans="1:10" x14ac:dyDescent="0.3">
      <c r="B11"/>
      <c r="J11" s="1"/>
    </row>
    <row r="12" spans="1:10" x14ac:dyDescent="0.3">
      <c r="A12" s="66" t="s">
        <v>103</v>
      </c>
      <c r="B12" s="44" t="s">
        <v>89</v>
      </c>
      <c r="E12" s="1"/>
    </row>
    <row r="13" spans="1:10" x14ac:dyDescent="0.3">
      <c r="A13" s="66"/>
      <c r="B13" s="28">
        <v>9.2100000000000001E-2</v>
      </c>
      <c r="C13" s="40" t="s">
        <v>109</v>
      </c>
    </row>
    <row r="14" spans="1:10" x14ac:dyDescent="0.3">
      <c r="A14" s="55" t="s">
        <v>105</v>
      </c>
      <c r="B14" s="56"/>
    </row>
    <row r="15" spans="1:10" x14ac:dyDescent="0.3">
      <c r="A15" s="52" t="s">
        <v>1</v>
      </c>
      <c r="B15" s="53">
        <f>B6</f>
        <v>150000</v>
      </c>
    </row>
    <row r="16" spans="1:10" x14ac:dyDescent="0.3">
      <c r="A16" s="52" t="s">
        <v>26</v>
      </c>
      <c r="B16" s="54">
        <f>B9</f>
        <v>21030.000058166665</v>
      </c>
    </row>
    <row r="17" spans="1:5" x14ac:dyDescent="0.3">
      <c r="A17" s="52" t="s">
        <v>80</v>
      </c>
      <c r="B17" s="54">
        <f>-B10</f>
        <v>-3280.6800090739998</v>
      </c>
    </row>
    <row r="18" spans="1:5" x14ac:dyDescent="0.3">
      <c r="A18" s="52" t="s">
        <v>110</v>
      </c>
      <c r="B18" s="53">
        <f>B16+B17</f>
        <v>17749.320049092665</v>
      </c>
    </row>
    <row r="19" spans="1:5" x14ac:dyDescent="0.3">
      <c r="A19" s="57" t="s">
        <v>106</v>
      </c>
      <c r="B19" s="58"/>
    </row>
    <row r="20" spans="1:5" x14ac:dyDescent="0.3">
      <c r="A20" s="52" t="s">
        <v>78</v>
      </c>
      <c r="B20" s="53">
        <f>B15*20%</f>
        <v>30000</v>
      </c>
    </row>
    <row r="21" spans="1:5" x14ac:dyDescent="0.3">
      <c r="A21" s="52" t="s">
        <v>74</v>
      </c>
      <c r="B21" s="59">
        <f>B15*B13</f>
        <v>13815</v>
      </c>
      <c r="C21" s="40" t="s">
        <v>101</v>
      </c>
    </row>
    <row r="22" spans="1:5" x14ac:dyDescent="0.3">
      <c r="A22" s="52" t="s">
        <v>75</v>
      </c>
      <c r="B22" s="59">
        <f>-($B$20*B13)</f>
        <v>-2763</v>
      </c>
    </row>
    <row r="23" spans="1:5" x14ac:dyDescent="0.3">
      <c r="A23" s="52" t="s">
        <v>107</v>
      </c>
      <c r="B23" s="53">
        <f>B21+B22</f>
        <v>11052</v>
      </c>
    </row>
    <row r="24" spans="1:5" x14ac:dyDescent="0.3">
      <c r="A24" s="6" t="s">
        <v>108</v>
      </c>
      <c r="B24" s="7">
        <f>B18+B23</f>
        <v>28801.320049092665</v>
      </c>
    </row>
    <row r="25" spans="1:5" x14ac:dyDescent="0.3">
      <c r="A25" s="13" t="s">
        <v>79</v>
      </c>
      <c r="B25" s="39">
        <f>B24-B9</f>
        <v>7771.3199909260002</v>
      </c>
      <c r="C25" s="50">
        <f>B25/B9</f>
        <v>0.36953494861775488</v>
      </c>
      <c r="D25" s="51" t="s">
        <v>104</v>
      </c>
    </row>
    <row r="28" spans="1:5" x14ac:dyDescent="0.3">
      <c r="A28" s="41" t="s">
        <v>96</v>
      </c>
    </row>
    <row r="29" spans="1:5" x14ac:dyDescent="0.3">
      <c r="A29" s="4" t="s">
        <v>83</v>
      </c>
      <c r="B29" s="5">
        <v>10000</v>
      </c>
    </row>
    <row r="30" spans="1:5" x14ac:dyDescent="0.3">
      <c r="A30" s="4" t="s">
        <v>84</v>
      </c>
      <c r="B30" s="5">
        <f>B29*E30</f>
        <v>218.71200060493334</v>
      </c>
      <c r="C30" s="42" t="s">
        <v>91</v>
      </c>
      <c r="E30" s="45">
        <f>B8*15.6%</f>
        <v>2.1871200060493333E-2</v>
      </c>
    </row>
    <row r="31" spans="1:5" x14ac:dyDescent="0.3">
      <c r="A31" s="4" t="s">
        <v>85</v>
      </c>
      <c r="B31" s="5">
        <f>B29*B13</f>
        <v>921</v>
      </c>
      <c r="C31" s="40" t="s">
        <v>102</v>
      </c>
    </row>
    <row r="32" spans="1:5" x14ac:dyDescent="0.3">
      <c r="A32" s="4" t="s">
        <v>79</v>
      </c>
      <c r="B32" s="43">
        <f>B30-B31</f>
        <v>-702.28799939506666</v>
      </c>
    </row>
  </sheetData>
  <mergeCells count="1">
    <mergeCell ref="A12:A13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1048-E112-4835-81AD-00D2FA31717F}">
  <dimension ref="A1:E31"/>
  <sheetViews>
    <sheetView showGridLines="0" tabSelected="1" zoomScaleNormal="100" workbookViewId="0">
      <selection activeCell="B12" sqref="B12"/>
    </sheetView>
  </sheetViews>
  <sheetFormatPr defaultRowHeight="14.4" x14ac:dyDescent="0.3"/>
  <cols>
    <col min="1" max="1" width="42.77734375" customWidth="1"/>
    <col min="2" max="2" width="16.33203125" style="1" customWidth="1"/>
    <col min="3" max="3" width="8" customWidth="1"/>
    <col min="4" max="4" width="19.88671875" customWidth="1"/>
    <col min="5" max="5" width="9.5546875" bestFit="1" customWidth="1"/>
  </cols>
  <sheetData>
    <row r="1" spans="1:3" x14ac:dyDescent="0.3">
      <c r="A1" t="s">
        <v>53</v>
      </c>
    </row>
    <row r="2" spans="1:3" x14ac:dyDescent="0.3">
      <c r="A2" t="s">
        <v>52</v>
      </c>
    </row>
    <row r="4" spans="1:3" x14ac:dyDescent="0.3">
      <c r="A4" s="8" t="s">
        <v>90</v>
      </c>
      <c r="B4" s="44" t="s">
        <v>89</v>
      </c>
    </row>
    <row r="5" spans="1:3" x14ac:dyDescent="0.3">
      <c r="A5" s="9" t="s">
        <v>1</v>
      </c>
      <c r="B5" s="10">
        <v>150000</v>
      </c>
    </row>
    <row r="6" spans="1:3" x14ac:dyDescent="0.3">
      <c r="A6" s="4" t="s">
        <v>21</v>
      </c>
      <c r="B6" s="5">
        <v>1800000.01</v>
      </c>
    </row>
    <row r="7" spans="1:3" x14ac:dyDescent="0.3">
      <c r="A7" s="47" t="s">
        <v>24</v>
      </c>
      <c r="B7" s="48">
        <f>((B6*'Tabela SN Anexo III'!D8)-'Tabela SN Anexo III'!E8)/B6</f>
        <v>0.14020000038777777</v>
      </c>
    </row>
    <row r="8" spans="1:3" x14ac:dyDescent="0.3">
      <c r="A8" s="6" t="s">
        <v>26</v>
      </c>
      <c r="B8" s="7">
        <f>B5*B7</f>
        <v>21030.000058166665</v>
      </c>
    </row>
    <row r="9" spans="1:3" x14ac:dyDescent="0.3">
      <c r="A9" s="11" t="s">
        <v>86</v>
      </c>
      <c r="B9" s="12">
        <f>B8*('Tabela SN Anexo III'!I8+'Tabela SN Anexo III'!J8+'Tabela SN Anexo III'!L8)</f>
        <v>10325.730028559832</v>
      </c>
      <c r="C9" s="40" t="s">
        <v>87</v>
      </c>
    </row>
    <row r="10" spans="1:3" x14ac:dyDescent="0.3">
      <c r="B10"/>
    </row>
    <row r="11" spans="1:3" s="24" customFormat="1" x14ac:dyDescent="0.3">
      <c r="A11" s="66" t="s">
        <v>103</v>
      </c>
      <c r="B11" s="44" t="s">
        <v>93</v>
      </c>
    </row>
    <row r="12" spans="1:3" x14ac:dyDescent="0.3">
      <c r="A12" s="66"/>
      <c r="B12" s="28">
        <v>0.27910000000000001</v>
      </c>
    </row>
    <row r="13" spans="1:3" x14ac:dyDescent="0.3">
      <c r="A13" s="55" t="s">
        <v>105</v>
      </c>
      <c r="B13" s="56"/>
    </row>
    <row r="14" spans="1:3" x14ac:dyDescent="0.3">
      <c r="A14" s="52" t="s">
        <v>1</v>
      </c>
      <c r="B14" s="53">
        <v>150000</v>
      </c>
    </row>
    <row r="15" spans="1:3" x14ac:dyDescent="0.3">
      <c r="A15" s="52" t="s">
        <v>26</v>
      </c>
      <c r="B15" s="54">
        <f>B8</f>
        <v>21030.000058166665</v>
      </c>
    </row>
    <row r="16" spans="1:3" x14ac:dyDescent="0.3">
      <c r="A16" s="52" t="s">
        <v>54</v>
      </c>
      <c r="B16" s="54">
        <f>-B9</f>
        <v>-10325.730028559832</v>
      </c>
    </row>
    <row r="17" spans="1:5" x14ac:dyDescent="0.3">
      <c r="A17" s="52" t="s">
        <v>110</v>
      </c>
      <c r="B17" s="53">
        <f>B15+B16</f>
        <v>10704.270029606832</v>
      </c>
    </row>
    <row r="18" spans="1:5" x14ac:dyDescent="0.3">
      <c r="A18" s="57" t="s">
        <v>111</v>
      </c>
      <c r="B18" s="58"/>
    </row>
    <row r="19" spans="1:5" x14ac:dyDescent="0.3">
      <c r="A19" s="52" t="s">
        <v>78</v>
      </c>
      <c r="B19" s="53">
        <f>B14*20%</f>
        <v>30000</v>
      </c>
    </row>
    <row r="20" spans="1:5" x14ac:dyDescent="0.3">
      <c r="A20" s="52" t="s">
        <v>77</v>
      </c>
      <c r="B20" s="53">
        <f>(B14*B12)</f>
        <v>41865</v>
      </c>
      <c r="C20" s="40" t="s">
        <v>92</v>
      </c>
    </row>
    <row r="21" spans="1:5" x14ac:dyDescent="0.3">
      <c r="A21" s="52" t="s">
        <v>76</v>
      </c>
      <c r="B21" s="53">
        <f>-(B19*B12)</f>
        <v>-8373</v>
      </c>
    </row>
    <row r="22" spans="1:5" x14ac:dyDescent="0.3">
      <c r="A22" s="52" t="s">
        <v>112</v>
      </c>
      <c r="B22" s="53">
        <f>B20+B21</f>
        <v>33492</v>
      </c>
    </row>
    <row r="23" spans="1:5" x14ac:dyDescent="0.3">
      <c r="A23" s="6" t="s">
        <v>108</v>
      </c>
      <c r="B23" s="7">
        <f>B17+B22</f>
        <v>44196.270029606836</v>
      </c>
    </row>
    <row r="24" spans="1:5" x14ac:dyDescent="0.3">
      <c r="A24" s="52" t="s">
        <v>79</v>
      </c>
      <c r="B24" s="39">
        <f>B23-B8</f>
        <v>23166.269971440172</v>
      </c>
      <c r="C24" s="50">
        <f>B24/B8</f>
        <v>1.101582021272697</v>
      </c>
      <c r="D24" s="51" t="s">
        <v>104</v>
      </c>
    </row>
    <row r="27" spans="1:5" x14ac:dyDescent="0.3">
      <c r="A27" s="41" t="s">
        <v>96</v>
      </c>
    </row>
    <row r="28" spans="1:5" x14ac:dyDescent="0.3">
      <c r="A28" s="4" t="s">
        <v>83</v>
      </c>
      <c r="B28" s="5">
        <v>10000</v>
      </c>
    </row>
    <row r="29" spans="1:5" x14ac:dyDescent="0.3">
      <c r="A29" s="4" t="s">
        <v>84</v>
      </c>
      <c r="B29" s="5">
        <f>B28*E29</f>
        <v>688.38200190398879</v>
      </c>
      <c r="C29" s="42" t="s">
        <v>94</v>
      </c>
      <c r="E29" s="45">
        <f>B7*49.1%</f>
        <v>6.8838200190398879E-2</v>
      </c>
    </row>
    <row r="30" spans="1:5" x14ac:dyDescent="0.3">
      <c r="A30" s="4" t="s">
        <v>85</v>
      </c>
      <c r="B30" s="5">
        <f>B28*B12</f>
        <v>2791</v>
      </c>
      <c r="C30" s="51" t="s">
        <v>95</v>
      </c>
    </row>
    <row r="31" spans="1:5" x14ac:dyDescent="0.3">
      <c r="A31" s="4" t="s">
        <v>79</v>
      </c>
      <c r="B31" s="43">
        <f>B29-B30</f>
        <v>-2102.6179980960114</v>
      </c>
    </row>
  </sheetData>
  <mergeCells count="1">
    <mergeCell ref="A11:A12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38EB-7D8C-48F5-836F-C216A1D229C3}">
  <dimension ref="A1:B19"/>
  <sheetViews>
    <sheetView showGridLines="0" zoomScale="115" zoomScaleNormal="115" workbookViewId="0">
      <selection activeCell="H11" sqref="H11"/>
    </sheetView>
  </sheetViews>
  <sheetFormatPr defaultRowHeight="14.4" x14ac:dyDescent="0.3"/>
  <cols>
    <col min="1" max="1" width="41.21875" customWidth="1"/>
    <col min="2" max="2" width="16.33203125" style="1" customWidth="1"/>
    <col min="3" max="4" width="15.88671875" customWidth="1"/>
  </cols>
  <sheetData>
    <row r="1" spans="1:2" x14ac:dyDescent="0.3">
      <c r="A1" t="s">
        <v>50</v>
      </c>
    </row>
    <row r="2" spans="1:2" x14ac:dyDescent="0.3">
      <c r="A2" t="s">
        <v>0</v>
      </c>
    </row>
    <row r="4" spans="1:2" x14ac:dyDescent="0.3">
      <c r="A4" s="44" t="s">
        <v>9</v>
      </c>
      <c r="B4" s="8" t="s">
        <v>10</v>
      </c>
    </row>
    <row r="5" spans="1:2" x14ac:dyDescent="0.3">
      <c r="A5" s="9" t="s">
        <v>1</v>
      </c>
      <c r="B5" s="10">
        <v>150000</v>
      </c>
    </row>
    <row r="6" spans="1:2" x14ac:dyDescent="0.3">
      <c r="A6" s="11" t="s">
        <v>2</v>
      </c>
      <c r="B6" s="12">
        <f>B5*0.65%</f>
        <v>975.00000000000011</v>
      </c>
    </row>
    <row r="7" spans="1:2" x14ac:dyDescent="0.3">
      <c r="A7" s="11" t="s">
        <v>7</v>
      </c>
      <c r="B7" s="12">
        <f>B5*3%</f>
        <v>4500</v>
      </c>
    </row>
    <row r="8" spans="1:2" x14ac:dyDescent="0.3">
      <c r="A8" s="11" t="s">
        <v>51</v>
      </c>
      <c r="B8" s="12">
        <f>B5*5%</f>
        <v>7500</v>
      </c>
    </row>
    <row r="9" spans="1:2" x14ac:dyDescent="0.3">
      <c r="A9" s="6" t="s">
        <v>12</v>
      </c>
      <c r="B9" s="7">
        <f>SUM(B6:B8)</f>
        <v>12975</v>
      </c>
    </row>
    <row r="12" spans="1:2" x14ac:dyDescent="0.3">
      <c r="A12" s="46" t="s">
        <v>88</v>
      </c>
      <c r="B12" s="28">
        <v>9.2100000000000001E-2</v>
      </c>
    </row>
    <row r="13" spans="1:2" x14ac:dyDescent="0.3">
      <c r="A13" s="9" t="str">
        <f>A5</f>
        <v>Receita da Prestação de Serviços</v>
      </c>
      <c r="B13" s="27">
        <f>B5</f>
        <v>150000</v>
      </c>
    </row>
    <row r="14" spans="1:2" x14ac:dyDescent="0.3">
      <c r="A14" s="9" t="s">
        <v>78</v>
      </c>
      <c r="B14" s="27">
        <v>30000</v>
      </c>
    </row>
    <row r="15" spans="1:2" x14ac:dyDescent="0.3">
      <c r="A15" s="11" t="s">
        <v>51</v>
      </c>
      <c r="B15" s="12">
        <f>B13*5%</f>
        <v>7500</v>
      </c>
    </row>
    <row r="16" spans="1:2" x14ac:dyDescent="0.3">
      <c r="A16" s="11" t="s">
        <v>74</v>
      </c>
      <c r="B16" s="12">
        <f>B13*B12</f>
        <v>13815</v>
      </c>
    </row>
    <row r="17" spans="1:2" x14ac:dyDescent="0.3">
      <c r="A17" s="11" t="s">
        <v>75</v>
      </c>
      <c r="B17" s="12">
        <f>-B14*B12</f>
        <v>-2763</v>
      </c>
    </row>
    <row r="18" spans="1:2" x14ac:dyDescent="0.3">
      <c r="A18" s="6" t="s">
        <v>97</v>
      </c>
      <c r="B18" s="7">
        <f>SUM(B15:B17)</f>
        <v>18552</v>
      </c>
    </row>
    <row r="19" spans="1:2" x14ac:dyDescent="0.3">
      <c r="A19" s="13" t="s">
        <v>79</v>
      </c>
      <c r="B19" s="39">
        <f>B18-B9</f>
        <v>5577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25AB-B335-4C6F-A553-8A6BB0A0FD98}">
  <dimension ref="A1:B18"/>
  <sheetViews>
    <sheetView showGridLines="0" zoomScale="115" zoomScaleNormal="115" workbookViewId="0">
      <selection activeCell="A13" sqref="A13"/>
    </sheetView>
  </sheetViews>
  <sheetFormatPr defaultRowHeight="14.4" x14ac:dyDescent="0.3"/>
  <cols>
    <col min="1" max="1" width="47.21875" customWidth="1"/>
    <col min="2" max="2" width="16.33203125" style="1" customWidth="1"/>
    <col min="3" max="4" width="15.88671875" customWidth="1"/>
  </cols>
  <sheetData>
    <row r="1" spans="1:2" x14ac:dyDescent="0.3">
      <c r="A1" t="s">
        <v>50</v>
      </c>
    </row>
    <row r="2" spans="1:2" x14ac:dyDescent="0.3">
      <c r="A2" t="s">
        <v>0</v>
      </c>
    </row>
    <row r="4" spans="1:2" x14ac:dyDescent="0.3">
      <c r="A4" s="44" t="s">
        <v>9</v>
      </c>
      <c r="B4" s="8" t="s">
        <v>10</v>
      </c>
    </row>
    <row r="5" spans="1:2" x14ac:dyDescent="0.3">
      <c r="A5" s="9" t="s">
        <v>1</v>
      </c>
      <c r="B5" s="10">
        <v>150000</v>
      </c>
    </row>
    <row r="6" spans="1:2" x14ac:dyDescent="0.3">
      <c r="A6" s="11" t="s">
        <v>2</v>
      </c>
      <c r="B6" s="12">
        <f>B5*0.65%</f>
        <v>975.00000000000011</v>
      </c>
    </row>
    <row r="7" spans="1:2" x14ac:dyDescent="0.3">
      <c r="A7" s="11" t="s">
        <v>7</v>
      </c>
      <c r="B7" s="12">
        <f>B5*3%</f>
        <v>4500</v>
      </c>
    </row>
    <row r="8" spans="1:2" x14ac:dyDescent="0.3">
      <c r="A8" s="11" t="s">
        <v>51</v>
      </c>
      <c r="B8" s="12">
        <f>B5*5%</f>
        <v>7500</v>
      </c>
    </row>
    <row r="9" spans="1:2" x14ac:dyDescent="0.3">
      <c r="A9" s="6" t="s">
        <v>12</v>
      </c>
      <c r="B9" s="7">
        <f>SUM(B6:B8)</f>
        <v>12975</v>
      </c>
    </row>
    <row r="12" spans="1:2" x14ac:dyDescent="0.3">
      <c r="A12" s="46" t="s">
        <v>100</v>
      </c>
      <c r="B12" s="28">
        <v>0.26500000000000001</v>
      </c>
    </row>
    <row r="13" spans="1:2" x14ac:dyDescent="0.3">
      <c r="A13" s="9" t="str">
        <f>A5</f>
        <v>Receita da Prestação de Serviços</v>
      </c>
      <c r="B13" s="27">
        <f>B5</f>
        <v>150000</v>
      </c>
    </row>
    <row r="14" spans="1:2" x14ac:dyDescent="0.3">
      <c r="A14" s="9" t="s">
        <v>78</v>
      </c>
      <c r="B14" s="27">
        <v>30000</v>
      </c>
    </row>
    <row r="15" spans="1:2" x14ac:dyDescent="0.3">
      <c r="A15" s="11" t="s">
        <v>98</v>
      </c>
      <c r="B15" s="12">
        <f>B13*B12</f>
        <v>39750</v>
      </c>
    </row>
    <row r="16" spans="1:2" x14ac:dyDescent="0.3">
      <c r="A16" s="11" t="s">
        <v>99</v>
      </c>
      <c r="B16" s="12">
        <f>-B14*B12</f>
        <v>-7950</v>
      </c>
    </row>
    <row r="17" spans="1:2" x14ac:dyDescent="0.3">
      <c r="A17" s="6" t="s">
        <v>97</v>
      </c>
      <c r="B17" s="7">
        <f>SUM(B15:B16)</f>
        <v>31800</v>
      </c>
    </row>
    <row r="18" spans="1:2" x14ac:dyDescent="0.3">
      <c r="A18" s="13" t="s">
        <v>79</v>
      </c>
      <c r="B18" s="39">
        <f>B17-B9</f>
        <v>18825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8B73-4B3B-4E0B-B26D-B2D37EA81652}">
  <dimension ref="A1:L9"/>
  <sheetViews>
    <sheetView workbookViewId="0">
      <selection activeCell="M16" sqref="M16"/>
    </sheetView>
  </sheetViews>
  <sheetFormatPr defaultRowHeight="14.4" x14ac:dyDescent="0.3"/>
  <cols>
    <col min="2" max="3" width="17.33203125" bestFit="1" customWidth="1"/>
    <col min="5" max="5" width="12.33203125" bestFit="1" customWidth="1"/>
    <col min="6" max="6" width="1.88671875" customWidth="1"/>
  </cols>
  <sheetData>
    <row r="1" spans="1:12" x14ac:dyDescent="0.3">
      <c r="A1" s="68" t="s">
        <v>55</v>
      </c>
      <c r="B1" s="68"/>
    </row>
    <row r="2" spans="1:12" x14ac:dyDescent="0.3">
      <c r="A2" s="69" t="s">
        <v>56</v>
      </c>
      <c r="B2" s="69" t="s">
        <v>57</v>
      </c>
      <c r="C2" s="69" t="s">
        <v>58</v>
      </c>
      <c r="D2" s="69" t="s">
        <v>59</v>
      </c>
      <c r="E2" s="69" t="s">
        <v>60</v>
      </c>
      <c r="G2" s="67" t="s">
        <v>61</v>
      </c>
      <c r="H2" s="67"/>
      <c r="I2" s="67"/>
      <c r="J2" s="67"/>
      <c r="K2" s="67"/>
      <c r="L2" s="67"/>
    </row>
    <row r="3" spans="1:12" ht="28.8" x14ac:dyDescent="0.3">
      <c r="A3" s="69"/>
      <c r="B3" s="69"/>
      <c r="C3" s="69"/>
      <c r="D3" s="69"/>
      <c r="E3" s="69"/>
      <c r="G3" s="29" t="s">
        <v>62</v>
      </c>
      <c r="H3" s="29" t="s">
        <v>63</v>
      </c>
      <c r="I3" s="29" t="s">
        <v>64</v>
      </c>
      <c r="J3" s="29" t="s">
        <v>65</v>
      </c>
      <c r="K3" s="29" t="s">
        <v>66</v>
      </c>
      <c r="L3" s="29" t="s">
        <v>67</v>
      </c>
    </row>
    <row r="4" spans="1:12" x14ac:dyDescent="0.3">
      <c r="A4" s="30" t="s">
        <v>68</v>
      </c>
      <c r="B4" s="31">
        <v>0</v>
      </c>
      <c r="C4" s="32">
        <v>180000</v>
      </c>
      <c r="D4" s="33">
        <v>0.06</v>
      </c>
      <c r="E4" s="34">
        <v>0</v>
      </c>
      <c r="F4" s="35"/>
      <c r="G4" s="36">
        <v>0.04</v>
      </c>
      <c r="H4" s="36">
        <v>3.5000000000000003E-2</v>
      </c>
      <c r="I4" s="36">
        <v>0.12820000000000001</v>
      </c>
      <c r="J4" s="36">
        <v>2.7799999999999998E-2</v>
      </c>
      <c r="K4" s="36">
        <v>0.434</v>
      </c>
      <c r="L4" s="36">
        <v>0.33500000000000002</v>
      </c>
    </row>
    <row r="5" spans="1:12" x14ac:dyDescent="0.3">
      <c r="A5" s="30" t="s">
        <v>69</v>
      </c>
      <c r="B5" s="37">
        <v>180000.01</v>
      </c>
      <c r="C5" s="38">
        <v>360000</v>
      </c>
      <c r="D5" s="33">
        <v>0.112</v>
      </c>
      <c r="E5" s="34">
        <v>9360</v>
      </c>
      <c r="F5" s="35"/>
      <c r="G5" s="36">
        <v>0.04</v>
      </c>
      <c r="H5" s="36">
        <v>3.5000000000000003E-2</v>
      </c>
      <c r="I5" s="36">
        <v>0.14050000000000001</v>
      </c>
      <c r="J5" s="36">
        <v>3.0499999999999999E-2</v>
      </c>
      <c r="K5" s="36">
        <v>0.434</v>
      </c>
      <c r="L5" s="36">
        <v>0.32</v>
      </c>
    </row>
    <row r="6" spans="1:12" x14ac:dyDescent="0.3">
      <c r="A6" s="30" t="s">
        <v>70</v>
      </c>
      <c r="B6" s="37">
        <v>360000.01</v>
      </c>
      <c r="C6" s="38">
        <v>720000</v>
      </c>
      <c r="D6" s="33">
        <v>0.13500000000000001</v>
      </c>
      <c r="E6" s="34">
        <v>17640</v>
      </c>
      <c r="F6" s="35"/>
      <c r="G6" s="36">
        <v>0.04</v>
      </c>
      <c r="H6" s="36">
        <v>3.5000000000000003E-2</v>
      </c>
      <c r="I6" s="36">
        <v>0.13639999999999999</v>
      </c>
      <c r="J6" s="36">
        <v>2.9600000000000001E-2</v>
      </c>
      <c r="K6" s="36">
        <v>0.434</v>
      </c>
      <c r="L6" s="36">
        <v>0.32500000000000001</v>
      </c>
    </row>
    <row r="7" spans="1:12" x14ac:dyDescent="0.3">
      <c r="A7" s="30" t="s">
        <v>71</v>
      </c>
      <c r="B7" s="37">
        <v>720000.01</v>
      </c>
      <c r="C7" s="38">
        <v>1800000</v>
      </c>
      <c r="D7" s="33">
        <v>0.16</v>
      </c>
      <c r="E7" s="34">
        <v>35640</v>
      </c>
      <c r="F7" s="35"/>
      <c r="G7" s="36">
        <v>0.04</v>
      </c>
      <c r="H7" s="36">
        <v>3.5000000000000003E-2</v>
      </c>
      <c r="I7" s="36">
        <v>0.13639999999999999</v>
      </c>
      <c r="J7" s="36">
        <v>2.9600000000000001E-2</v>
      </c>
      <c r="K7" s="36">
        <v>0.434</v>
      </c>
      <c r="L7" s="36">
        <v>0.32500000000000001</v>
      </c>
    </row>
    <row r="8" spans="1:12" x14ac:dyDescent="0.3">
      <c r="A8" s="30" t="s">
        <v>72</v>
      </c>
      <c r="B8" s="37">
        <v>1800000.01</v>
      </c>
      <c r="C8" s="38">
        <v>3600000</v>
      </c>
      <c r="D8" s="33">
        <v>0.21</v>
      </c>
      <c r="E8" s="34">
        <v>125640</v>
      </c>
      <c r="F8" s="35"/>
      <c r="G8" s="36">
        <v>0.04</v>
      </c>
      <c r="H8" s="36">
        <v>3.5000000000000003E-2</v>
      </c>
      <c r="I8" s="36">
        <v>0.12820000000000001</v>
      </c>
      <c r="J8" s="36">
        <v>2.7799999999999998E-2</v>
      </c>
      <c r="K8" s="36">
        <v>0.434</v>
      </c>
      <c r="L8" s="36">
        <v>0.33500000000000002</v>
      </c>
    </row>
    <row r="9" spans="1:12" x14ac:dyDescent="0.3">
      <c r="A9" s="30" t="s">
        <v>73</v>
      </c>
      <c r="B9" s="37">
        <v>3600000.01</v>
      </c>
      <c r="C9" s="38">
        <v>4800000</v>
      </c>
      <c r="D9" s="33">
        <v>0.33</v>
      </c>
      <c r="E9" s="34">
        <v>648000</v>
      </c>
      <c r="F9" s="35"/>
      <c r="G9" s="36">
        <v>0.35</v>
      </c>
      <c r="H9" s="36">
        <v>0.15</v>
      </c>
      <c r="I9" s="36">
        <v>0.1603</v>
      </c>
      <c r="J9" s="36">
        <v>3.4700000000000002E-2</v>
      </c>
      <c r="K9" s="36">
        <v>0.30499999999999999</v>
      </c>
      <c r="L9" s="36">
        <v>0</v>
      </c>
    </row>
  </sheetData>
  <mergeCells count="7">
    <mergeCell ref="G2:L2"/>
    <mergeCell ref="A1:B1"/>
    <mergeCell ref="A2:A3"/>
    <mergeCell ref="B2:B3"/>
    <mergeCell ref="C2:C3"/>
    <mergeCell ref="D2:D3"/>
    <mergeCell ref="E2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Planilha1</vt:lpstr>
      <vt:lpstr>Planilha2</vt:lpstr>
      <vt:lpstr>Simples Nacional - Cenario 2027</vt:lpstr>
      <vt:lpstr>Simples Nacional - Cenario 2033</vt:lpstr>
      <vt:lpstr>Lucro Presumido - Cenario 2027</vt:lpstr>
      <vt:lpstr>Lucro Presumido - Cenario 2033</vt:lpstr>
      <vt:lpstr>Tabela SN Anexo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Fellipe Guerra</dc:creator>
  <cp:lastModifiedBy>Adriano Figueiredo</cp:lastModifiedBy>
  <cp:lastPrinted>2026-08-26T13:36:51Z</cp:lastPrinted>
  <dcterms:created xsi:type="dcterms:W3CDTF">2023-07-28T01:40:48Z</dcterms:created>
  <dcterms:modified xsi:type="dcterms:W3CDTF">2026-08-26T13:53:12Z</dcterms:modified>
</cp:coreProperties>
</file>